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C:\WillsDocuments\sportsci\resource\stats\"/>
    </mc:Choice>
  </mc:AlternateContent>
  <xr:revisionPtr revIDLastSave="0" documentId="13_ncr:1000001_{AD0A5F5A-31D2-B842-9936-A923F20F30AF}" xr6:coauthVersionLast="47" xr6:coauthVersionMax="47" xr10:uidLastSave="{00000000-0000-0000-0000-000000000000}"/>
  <bookViews>
    <workbookView xWindow="46485" yWindow="0" windowWidth="17010" windowHeight="8730" tabRatio="711" activeTab="2" xr2:uid="{00000000-000D-0000-FFFF-FFFF00000000}"/>
  </bookViews>
  <sheets>
    <sheet name="Simple Change" sheetId="12" r:id="rId1"/>
    <sheet name="Trend Instructions" sheetId="6" r:id="rId2"/>
    <sheet name="Trend Data" sheetId="9" r:id="rId3"/>
    <sheet name="Chances of outcomes" sheetId="11" r:id="rId4"/>
    <sheet name="Trend Simulation Instructions" sheetId="7" r:id="rId5"/>
    <sheet name="Trend Simulation Data" sheetId="10"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2" l="1"/>
  <c r="H33" i="12"/>
  <c r="F33" i="12"/>
  <c r="F16" i="9"/>
  <c r="E32" i="12"/>
  <c r="O32" i="12"/>
  <c r="M32" i="12"/>
  <c r="Z60" i="9"/>
  <c r="Y60" i="9"/>
  <c r="O60" i="9"/>
  <c r="N60" i="9"/>
  <c r="K60" i="9"/>
  <c r="H60" i="9"/>
  <c r="N32" i="12"/>
  <c r="Z54" i="9"/>
  <c r="Y54" i="9"/>
  <c r="X54" i="9"/>
  <c r="W54" i="9"/>
  <c r="V54" i="9"/>
  <c r="U54" i="9"/>
  <c r="T54" i="9"/>
  <c r="S54" i="9"/>
  <c r="R54" i="9"/>
  <c r="Q54" i="9"/>
  <c r="P54" i="9"/>
  <c r="O54" i="9"/>
  <c r="N54" i="9"/>
  <c r="M54" i="9"/>
  <c r="L54" i="9"/>
  <c r="K54" i="9"/>
  <c r="J54" i="9"/>
  <c r="I54" i="9"/>
  <c r="H54" i="9"/>
  <c r="F54" i="9"/>
  <c r="G54" i="9"/>
  <c r="G57" i="9"/>
  <c r="F55" i="9"/>
  <c r="R62" i="10"/>
  <c r="R63" i="10"/>
  <c r="R82" i="10"/>
  <c r="Q62" i="10"/>
  <c r="Q63" i="10"/>
  <c r="Q82" i="10"/>
  <c r="Q49" i="10"/>
  <c r="P62" i="10"/>
  <c r="P82" i="10"/>
  <c r="P85" i="10"/>
  <c r="K21" i="9"/>
  <c r="K34" i="9"/>
  <c r="K33" i="9"/>
  <c r="K35" i="9"/>
  <c r="K36" i="9"/>
  <c r="K38" i="9"/>
  <c r="K41" i="9"/>
  <c r="K39" i="9"/>
  <c r="K40" i="9"/>
  <c r="K57" i="9"/>
  <c r="K58" i="9"/>
  <c r="K59" i="9"/>
  <c r="K61" i="9"/>
  <c r="K62" i="9"/>
  <c r="K63" i="9"/>
  <c r="K64" i="9"/>
  <c r="K78" i="9"/>
  <c r="K44" i="9"/>
  <c r="L21" i="9"/>
  <c r="L57" i="9"/>
  <c r="L58" i="9"/>
  <c r="L78" i="9"/>
  <c r="L44" i="9"/>
  <c r="Q21" i="9"/>
  <c r="Q57" i="9"/>
  <c r="Q58" i="9"/>
  <c r="Q78" i="9"/>
  <c r="Q44" i="9"/>
  <c r="P21" i="9"/>
  <c r="P34" i="9"/>
  <c r="P32" i="9"/>
  <c r="P35" i="9"/>
  <c r="P36" i="9"/>
  <c r="P57" i="9"/>
  <c r="P58" i="9"/>
  <c r="P78" i="9"/>
  <c r="P44" i="9"/>
  <c r="O21" i="9"/>
  <c r="O34" i="9"/>
  <c r="O32" i="9"/>
  <c r="O35" i="9"/>
  <c r="O36" i="9"/>
  <c r="O38" i="9"/>
  <c r="O41" i="9"/>
  <c r="O39" i="9"/>
  <c r="O40" i="9"/>
  <c r="O57" i="9"/>
  <c r="O58" i="9"/>
  <c r="O59" i="9"/>
  <c r="O61" i="9"/>
  <c r="O62" i="9"/>
  <c r="O63" i="9"/>
  <c r="O64" i="9"/>
  <c r="O78" i="9"/>
  <c r="O44" i="9"/>
  <c r="N21" i="9"/>
  <c r="N34" i="9"/>
  <c r="N33" i="9"/>
  <c r="N35" i="9"/>
  <c r="N36" i="9"/>
  <c r="N38" i="9"/>
  <c r="N41" i="9"/>
  <c r="N39" i="9"/>
  <c r="N40" i="9"/>
  <c r="N57" i="9"/>
  <c r="N58" i="9"/>
  <c r="N59" i="9"/>
  <c r="N61" i="9"/>
  <c r="N62" i="9"/>
  <c r="N63" i="9"/>
  <c r="N64" i="9"/>
  <c r="N78" i="9"/>
  <c r="N44" i="9"/>
  <c r="M21" i="9"/>
  <c r="M57" i="9"/>
  <c r="M58" i="9"/>
  <c r="M78" i="9"/>
  <c r="M44" i="9"/>
  <c r="Z30" i="9"/>
  <c r="N30" i="9"/>
  <c r="Z28" i="9"/>
  <c r="Z29" i="9"/>
  <c r="N28" i="9"/>
  <c r="N29" i="9"/>
  <c r="O28" i="9"/>
  <c r="O29" i="9"/>
  <c r="Y30" i="9"/>
  <c r="Y28" i="9"/>
  <c r="Y29" i="9"/>
  <c r="H30" i="9"/>
  <c r="K30" i="9"/>
  <c r="K28" i="9"/>
  <c r="K29" i="9"/>
  <c r="H28" i="9"/>
  <c r="H29" i="9"/>
  <c r="O30" i="9"/>
  <c r="K82" i="9"/>
  <c r="Q87" i="10"/>
  <c r="P87" i="10"/>
  <c r="Q86" i="10"/>
  <c r="Q83" i="10"/>
  <c r="Q48" i="10"/>
  <c r="Q47" i="10"/>
  <c r="Q50" i="10"/>
  <c r="Q85" i="10"/>
  <c r="Q84" i="10"/>
  <c r="P86" i="10"/>
  <c r="P84" i="10"/>
  <c r="P49" i="10"/>
  <c r="O33" i="9"/>
  <c r="P83" i="10"/>
  <c r="P48" i="10"/>
  <c r="P47" i="10"/>
  <c r="P50" i="10"/>
  <c r="N32" i="9"/>
  <c r="P33" i="9"/>
  <c r="K32" i="9"/>
  <c r="K43" i="9"/>
  <c r="K46" i="9"/>
  <c r="K81" i="9"/>
  <c r="K37" i="9"/>
  <c r="K80" i="9"/>
  <c r="K45" i="9"/>
  <c r="K83" i="9"/>
  <c r="K79" i="9"/>
  <c r="L82" i="9"/>
  <c r="L43" i="9"/>
  <c r="L46" i="9"/>
  <c r="L81" i="9"/>
  <c r="L80" i="9"/>
  <c r="L45" i="9"/>
  <c r="L83" i="9"/>
  <c r="L79" i="9"/>
  <c r="Q82" i="9"/>
  <c r="Q81" i="9"/>
  <c r="Q43" i="9"/>
  <c r="Q46" i="9"/>
  <c r="Q80" i="9"/>
  <c r="Q45" i="9"/>
  <c r="Q83" i="9"/>
  <c r="Q79" i="9"/>
  <c r="P81" i="9"/>
  <c r="P37" i="9"/>
  <c r="P82" i="9"/>
  <c r="P43" i="9"/>
  <c r="P46" i="9"/>
  <c r="P80" i="9"/>
  <c r="P45" i="9"/>
  <c r="P83" i="9"/>
  <c r="P79" i="9"/>
  <c r="O82" i="9"/>
  <c r="O43" i="9"/>
  <c r="O46" i="9"/>
  <c r="O81" i="9"/>
  <c r="O37" i="9"/>
  <c r="O80" i="9"/>
  <c r="O45" i="9"/>
  <c r="O83" i="9"/>
  <c r="O79" i="9"/>
  <c r="N82" i="9"/>
  <c r="N43" i="9"/>
  <c r="N46" i="9"/>
  <c r="N81" i="9"/>
  <c r="N37" i="9"/>
  <c r="N80" i="9"/>
  <c r="N45" i="9"/>
  <c r="N83" i="9"/>
  <c r="N79" i="9"/>
  <c r="M81" i="9"/>
  <c r="M82" i="9"/>
  <c r="M80" i="9"/>
  <c r="M45" i="9"/>
  <c r="M43" i="9"/>
  <c r="M46" i="9"/>
  <c r="M83" i="9"/>
  <c r="M79" i="9"/>
  <c r="H34" i="9"/>
  <c r="I34" i="9"/>
  <c r="Y34" i="9"/>
  <c r="Z34" i="9"/>
  <c r="E24" i="12"/>
  <c r="E27" i="12"/>
  <c r="S63" i="10"/>
  <c r="T63" i="10"/>
  <c r="U63" i="10"/>
  <c r="V63" i="10"/>
  <c r="W63" i="10"/>
  <c r="X63" i="10"/>
  <c r="Y63" i="10"/>
  <c r="Z63" i="10"/>
  <c r="M62" i="10"/>
  <c r="F62" i="10"/>
  <c r="L62" i="10"/>
  <c r="F56" i="10"/>
  <c r="F55" i="10"/>
  <c r="F48" i="9"/>
  <c r="F47" i="9"/>
  <c r="F58" i="9"/>
  <c r="G58" i="9"/>
  <c r="H58" i="9"/>
  <c r="I58" i="9"/>
  <c r="J58" i="9"/>
  <c r="R58" i="9"/>
  <c r="S58" i="9"/>
  <c r="T58" i="9"/>
  <c r="U58" i="9"/>
  <c r="V58" i="9"/>
  <c r="W58" i="9"/>
  <c r="X58" i="9"/>
  <c r="Y58" i="9"/>
  <c r="Z58" i="9"/>
  <c r="D19" i="11"/>
  <c r="E51" i="11"/>
  <c r="F13" i="9"/>
  <c r="F14" i="9"/>
  <c r="E21" i="10"/>
  <c r="E22" i="10"/>
  <c r="F57" i="9"/>
  <c r="H57" i="9"/>
  <c r="I57" i="9"/>
  <c r="J57" i="9"/>
  <c r="R57" i="9"/>
  <c r="S57" i="9"/>
  <c r="T57" i="9"/>
  <c r="U57" i="9"/>
  <c r="V57" i="9"/>
  <c r="W57" i="9"/>
  <c r="X57" i="9"/>
  <c r="Y57" i="9"/>
  <c r="Z57" i="9"/>
  <c r="E21" i="11"/>
  <c r="F18" i="11"/>
  <c r="F19" i="10"/>
  <c r="E22" i="11"/>
  <c r="E11" i="11"/>
  <c r="E13" i="11"/>
  <c r="E12" i="11"/>
  <c r="S78" i="9"/>
  <c r="S79" i="9"/>
  <c r="T78" i="9"/>
  <c r="F78" i="9"/>
  <c r="F43" i="9"/>
  <c r="F46" i="9"/>
  <c r="G78" i="9"/>
  <c r="G82" i="9"/>
  <c r="H78" i="9"/>
  <c r="H82" i="9"/>
  <c r="I78" i="9"/>
  <c r="I80" i="9"/>
  <c r="J78" i="9"/>
  <c r="J43" i="9"/>
  <c r="J46" i="9"/>
  <c r="R78" i="9"/>
  <c r="R79" i="9"/>
  <c r="U78" i="9"/>
  <c r="U79" i="9"/>
  <c r="V78" i="9"/>
  <c r="V43" i="9"/>
  <c r="V46" i="9"/>
  <c r="W78" i="9"/>
  <c r="W79" i="9"/>
  <c r="X78" i="9"/>
  <c r="X81" i="9"/>
  <c r="Y78" i="9"/>
  <c r="Y45" i="9"/>
  <c r="Z78" i="9"/>
  <c r="Z81" i="9"/>
  <c r="E6" i="9"/>
  <c r="E5" i="9"/>
  <c r="F25" i="11"/>
  <c r="F26" i="11"/>
  <c r="G82" i="10"/>
  <c r="G87" i="10"/>
  <c r="H82" i="10"/>
  <c r="H85" i="10"/>
  <c r="I82" i="10"/>
  <c r="I84" i="10"/>
  <c r="J82" i="10"/>
  <c r="J49" i="10"/>
  <c r="K82" i="10"/>
  <c r="K48" i="10"/>
  <c r="L82" i="10"/>
  <c r="L85" i="10"/>
  <c r="M82" i="10"/>
  <c r="M87" i="10"/>
  <c r="N82" i="10"/>
  <c r="N87" i="10"/>
  <c r="O82" i="10"/>
  <c r="O84" i="10"/>
  <c r="S82" i="10"/>
  <c r="T82" i="10"/>
  <c r="U82" i="10"/>
  <c r="V82" i="10"/>
  <c r="V47" i="10"/>
  <c r="V50" i="10"/>
  <c r="W82" i="10"/>
  <c r="W84" i="10"/>
  <c r="X82" i="10"/>
  <c r="X86" i="10"/>
  <c r="Y82" i="10"/>
  <c r="Y83" i="10"/>
  <c r="Z82" i="10"/>
  <c r="Z49" i="10"/>
  <c r="F82" i="10"/>
  <c r="F83" i="10"/>
  <c r="E6" i="10"/>
  <c r="E5" i="10"/>
  <c r="J87" i="10"/>
  <c r="O87" i="10"/>
  <c r="K83" i="10"/>
  <c r="O83" i="10"/>
  <c r="O85" i="10"/>
  <c r="G86" i="10"/>
  <c r="J86" i="10"/>
  <c r="K86" i="10"/>
  <c r="L86" i="10"/>
  <c r="O86" i="10"/>
  <c r="K84" i="10"/>
  <c r="G62" i="10"/>
  <c r="H62" i="10"/>
  <c r="I62" i="10"/>
  <c r="J62" i="10"/>
  <c r="K62" i="10"/>
  <c r="N62" i="10"/>
  <c r="O62" i="10"/>
  <c r="S62" i="10"/>
  <c r="T62" i="10"/>
  <c r="U62" i="10"/>
  <c r="V62" i="10"/>
  <c r="W62" i="10"/>
  <c r="X62" i="10"/>
  <c r="Y62" i="10"/>
  <c r="Z62" i="10"/>
  <c r="X47" i="10"/>
  <c r="X50" i="10"/>
  <c r="K47" i="10"/>
  <c r="K50" i="10"/>
  <c r="J47" i="10"/>
  <c r="J50" i="10"/>
  <c r="K49" i="10"/>
  <c r="G49" i="10"/>
  <c r="N48" i="10"/>
  <c r="G48" i="10"/>
  <c r="F25" i="10"/>
  <c r="F24" i="10"/>
  <c r="H38" i="9"/>
  <c r="H41" i="9"/>
  <c r="H39" i="9"/>
  <c r="H40" i="9"/>
  <c r="F36" i="10"/>
  <c r="F35" i="10"/>
  <c r="F11" i="10"/>
  <c r="F34" i="9"/>
  <c r="F37" i="9"/>
  <c r="F36" i="9"/>
  <c r="F35" i="9"/>
  <c r="F21" i="9"/>
  <c r="G21" i="9"/>
  <c r="H21" i="9"/>
  <c r="I21" i="9"/>
  <c r="J21" i="9"/>
  <c r="R21" i="9"/>
  <c r="S21" i="9"/>
  <c r="T21" i="9"/>
  <c r="U21" i="9"/>
  <c r="V21" i="9"/>
  <c r="W21" i="9"/>
  <c r="X21" i="9"/>
  <c r="Y21" i="9"/>
  <c r="Z21" i="9"/>
  <c r="F19" i="9"/>
  <c r="F18" i="9"/>
  <c r="F17" i="9"/>
  <c r="Y59" i="9"/>
  <c r="Y63" i="9"/>
  <c r="Y64" i="9"/>
  <c r="Y38" i="9"/>
  <c r="Y41" i="9"/>
  <c r="Y40" i="9"/>
  <c r="Y39" i="9"/>
  <c r="Z59" i="9"/>
  <c r="Z63" i="9"/>
  <c r="Z64" i="9"/>
  <c r="Z38" i="9"/>
  <c r="Z41" i="9"/>
  <c r="Z40" i="9"/>
  <c r="Z39" i="9"/>
  <c r="H59" i="9"/>
  <c r="H36" i="9"/>
  <c r="H35" i="9"/>
  <c r="I36" i="9"/>
  <c r="I35" i="9"/>
  <c r="Y36" i="9"/>
  <c r="Y35" i="9"/>
  <c r="Z36" i="9"/>
  <c r="Z35" i="9"/>
  <c r="H61" i="9"/>
  <c r="Y61" i="9"/>
  <c r="Z61" i="9"/>
  <c r="H62" i="9"/>
  <c r="Y62" i="9"/>
  <c r="Z62" i="9"/>
  <c r="H63" i="9"/>
  <c r="H64" i="9"/>
  <c r="K29" i="12"/>
  <c r="M33" i="12"/>
  <c r="O33" i="12"/>
  <c r="N33" i="12"/>
  <c r="P32" i="12"/>
  <c r="E26" i="12"/>
  <c r="E23" i="12"/>
  <c r="F69" i="9"/>
  <c r="N26" i="9"/>
  <c r="N27" i="9"/>
  <c r="N31" i="9"/>
  <c r="H26" i="9"/>
  <c r="H27" i="9"/>
  <c r="H31" i="9"/>
  <c r="K26" i="9"/>
  <c r="K27" i="9"/>
  <c r="K31" i="9"/>
  <c r="Y26" i="9"/>
  <c r="Y27" i="9"/>
  <c r="Y31" i="9"/>
  <c r="O26" i="9"/>
  <c r="O27" i="9"/>
  <c r="O31" i="9"/>
  <c r="Z26" i="9"/>
  <c r="Z27" i="9"/>
  <c r="Z31" i="9"/>
  <c r="N84" i="10"/>
  <c r="N86" i="10"/>
  <c r="N47" i="10"/>
  <c r="N50" i="10"/>
  <c r="J83" i="10"/>
  <c r="J48" i="10"/>
  <c r="N49" i="10"/>
  <c r="J84" i="10"/>
  <c r="W86" i="10"/>
  <c r="J85" i="10"/>
  <c r="X83" i="10"/>
  <c r="X87" i="10"/>
  <c r="X48" i="10"/>
  <c r="X49" i="10"/>
  <c r="X85" i="10"/>
  <c r="I47" i="10"/>
  <c r="I50" i="10"/>
  <c r="W47" i="10"/>
  <c r="W50" i="10"/>
  <c r="X84" i="10"/>
  <c r="H86" i="10"/>
  <c r="V49" i="10"/>
  <c r="F49" i="10"/>
  <c r="F84" i="10"/>
  <c r="F86" i="10"/>
  <c r="W48" i="10"/>
  <c r="F48" i="10"/>
  <c r="W85" i="10"/>
  <c r="F85" i="10"/>
  <c r="W87" i="10"/>
  <c r="F87" i="10"/>
  <c r="M48" i="10"/>
  <c r="W49" i="10"/>
  <c r="F47" i="10"/>
  <c r="F50" i="10"/>
  <c r="M86" i="10"/>
  <c r="I86" i="10"/>
  <c r="Y85" i="10"/>
  <c r="K85" i="10"/>
  <c r="W83" i="10"/>
  <c r="K87" i="10"/>
  <c r="L49" i="10"/>
  <c r="F77" i="10"/>
  <c r="Z84" i="10"/>
  <c r="O48" i="10"/>
  <c r="H49" i="10"/>
  <c r="G47" i="10"/>
  <c r="G50" i="10"/>
  <c r="O49" i="10"/>
  <c r="O47" i="10"/>
  <c r="O50" i="10"/>
  <c r="G84" i="10"/>
  <c r="Z85" i="10"/>
  <c r="V85" i="10"/>
  <c r="G85" i="10"/>
  <c r="V83" i="10"/>
  <c r="G83" i="10"/>
  <c r="V87" i="10"/>
  <c r="M49" i="10"/>
  <c r="Z87" i="10"/>
  <c r="I48" i="10"/>
  <c r="I49" i="10"/>
  <c r="V84" i="10"/>
  <c r="Z48" i="10"/>
  <c r="Z47" i="10"/>
  <c r="Z50" i="10"/>
  <c r="M84" i="10"/>
  <c r="Z86" i="10"/>
  <c r="N85" i="10"/>
  <c r="I85" i="10"/>
  <c r="N83" i="10"/>
  <c r="I83" i="10"/>
  <c r="I87" i="10"/>
  <c r="V86" i="10"/>
  <c r="Z83" i="10"/>
  <c r="V48" i="10"/>
  <c r="M47" i="10"/>
  <c r="M50" i="10"/>
  <c r="M85" i="10"/>
  <c r="M83" i="10"/>
  <c r="F74" i="10"/>
  <c r="Y48" i="10"/>
  <c r="H47" i="10"/>
  <c r="H50" i="10"/>
  <c r="L47" i="10"/>
  <c r="L50" i="10"/>
  <c r="Y47" i="10"/>
  <c r="Y50" i="10"/>
  <c r="F78" i="10"/>
  <c r="Y84" i="10"/>
  <c r="Y86" i="10"/>
  <c r="L87" i="10"/>
  <c r="H87" i="10"/>
  <c r="F76" i="10"/>
  <c r="H48" i="10"/>
  <c r="L48" i="10"/>
  <c r="H84" i="10"/>
  <c r="L84" i="10"/>
  <c r="L83" i="10"/>
  <c r="H83" i="10"/>
  <c r="Y87" i="10"/>
  <c r="F75" i="10"/>
  <c r="Y49" i="10"/>
  <c r="E82" i="10"/>
  <c r="Z33" i="9"/>
  <c r="Z32" i="9"/>
  <c r="Y32" i="9"/>
  <c r="Y33" i="9"/>
  <c r="I37" i="9"/>
  <c r="I33" i="9"/>
  <c r="I32" i="9"/>
  <c r="H32" i="9"/>
  <c r="H33" i="9"/>
  <c r="V45" i="9"/>
  <c r="I44" i="9"/>
  <c r="I82" i="9"/>
  <c r="H81" i="9"/>
  <c r="H45" i="9"/>
  <c r="H80" i="9"/>
  <c r="H83" i="9"/>
  <c r="H43" i="9"/>
  <c r="H46" i="9"/>
  <c r="H79" i="9"/>
  <c r="H44" i="9"/>
  <c r="W44" i="9"/>
  <c r="W80" i="9"/>
  <c r="I43" i="9"/>
  <c r="I46" i="9"/>
  <c r="I79" i="9"/>
  <c r="Z43" i="9"/>
  <c r="Z46" i="9"/>
  <c r="I45" i="9"/>
  <c r="V81" i="9"/>
  <c r="I83" i="9"/>
  <c r="V44" i="9"/>
  <c r="Z45" i="9"/>
  <c r="V80" i="9"/>
  <c r="Z82" i="9"/>
  <c r="Z83" i="9"/>
  <c r="V82" i="9"/>
  <c r="V83" i="9"/>
  <c r="Z79" i="9"/>
  <c r="V79" i="9"/>
  <c r="Z44" i="9"/>
  <c r="Z80" i="9"/>
  <c r="I81" i="9"/>
  <c r="F22" i="10"/>
  <c r="J45" i="9"/>
  <c r="F45" i="9"/>
  <c r="E35" i="11"/>
  <c r="Y80" i="9"/>
  <c r="F21" i="10"/>
  <c r="X43" i="9"/>
  <c r="X46" i="9"/>
  <c r="Y82" i="9"/>
  <c r="Y81" i="9"/>
  <c r="Y83" i="9"/>
  <c r="G83" i="9"/>
  <c r="X79" i="9"/>
  <c r="J79" i="9"/>
  <c r="F79" i="9"/>
  <c r="AA21" i="9"/>
  <c r="Y79" i="9"/>
  <c r="G79" i="9"/>
  <c r="Y43" i="9"/>
  <c r="Y46" i="9"/>
  <c r="Y44" i="9"/>
  <c r="X83" i="9"/>
  <c r="F73" i="9"/>
  <c r="X44" i="9"/>
  <c r="G81" i="9"/>
  <c r="G44" i="9"/>
  <c r="G45" i="9"/>
  <c r="X45" i="9"/>
  <c r="G43" i="9"/>
  <c r="G46" i="9"/>
  <c r="X80" i="9"/>
  <c r="G80" i="9"/>
  <c r="X82" i="9"/>
  <c r="F22" i="11"/>
  <c r="F21" i="11"/>
  <c r="T79" i="9"/>
  <c r="E48" i="9"/>
  <c r="F66" i="9"/>
  <c r="E47" i="9"/>
  <c r="F65" i="9"/>
  <c r="F68" i="9"/>
  <c r="F56" i="9"/>
  <c r="F70" i="9"/>
  <c r="F72" i="9"/>
  <c r="F71" i="9"/>
  <c r="F74" i="9"/>
  <c r="W43" i="9"/>
  <c r="W46" i="9"/>
  <c r="W81" i="9"/>
  <c r="W82" i="9"/>
  <c r="W83" i="9"/>
  <c r="W45" i="9"/>
  <c r="J82" i="9"/>
  <c r="J80" i="9"/>
  <c r="J44" i="9"/>
  <c r="J83" i="9"/>
  <c r="J81" i="9"/>
  <c r="F82" i="9"/>
  <c r="F80" i="9"/>
  <c r="F44" i="9"/>
  <c r="F83" i="9"/>
  <c r="F81" i="9"/>
  <c r="E78" i="9"/>
  <c r="Z37" i="9"/>
  <c r="H37" i="9"/>
  <c r="Y37" i="9"/>
  <c r="K32" i="12"/>
  <c r="L32" i="12"/>
  <c r="D15" i="9"/>
  <c r="F15" i="9"/>
  <c r="D20" i="10"/>
  <c r="F20" i="10"/>
  <c r="F60" i="9"/>
  <c r="X60" i="9"/>
  <c r="L60" i="9"/>
  <c r="G60" i="9"/>
  <c r="G28" i="9"/>
  <c r="Q60" i="9"/>
  <c r="W60" i="9"/>
  <c r="V60" i="9"/>
  <c r="J60" i="9"/>
  <c r="T60" i="9"/>
  <c r="R60" i="9"/>
  <c r="P60" i="9"/>
  <c r="P63" i="9"/>
  <c r="U60" i="9"/>
  <c r="I60" i="9"/>
  <c r="S60" i="9"/>
  <c r="S30" i="9"/>
  <c r="M60" i="9"/>
  <c r="D18" i="10"/>
  <c r="L59" i="9"/>
  <c r="L62" i="9"/>
  <c r="P59" i="9"/>
  <c r="P62" i="9"/>
  <c r="Q59" i="9"/>
  <c r="M59" i="9"/>
  <c r="E79" i="9"/>
  <c r="E38" i="11"/>
  <c r="S82" i="9"/>
  <c r="R82" i="9"/>
  <c r="F67" i="9"/>
  <c r="E51" i="9"/>
  <c r="T82" i="9"/>
  <c r="U82" i="9"/>
  <c r="T59" i="9"/>
  <c r="T64" i="9"/>
  <c r="T83" i="9"/>
  <c r="S59" i="9"/>
  <c r="F59" i="9"/>
  <c r="J59" i="9"/>
  <c r="G59" i="9"/>
  <c r="W59" i="9"/>
  <c r="R59" i="9"/>
  <c r="R64" i="9"/>
  <c r="R83" i="9"/>
  <c r="I59" i="9"/>
  <c r="V59" i="9"/>
  <c r="U59" i="9"/>
  <c r="X59" i="9"/>
  <c r="F19" i="11"/>
  <c r="F28" i="9"/>
  <c r="F30" i="9"/>
  <c r="S28" i="9"/>
  <c r="S29" i="9"/>
  <c r="J28" i="9"/>
  <c r="J30" i="9"/>
  <c r="W30" i="9"/>
  <c r="W28" i="9"/>
  <c r="Q28" i="9"/>
  <c r="Q26" i="9"/>
  <c r="Q27" i="9"/>
  <c r="Q30" i="9"/>
  <c r="G30" i="9"/>
  <c r="M28" i="9"/>
  <c r="M26" i="9"/>
  <c r="M27" i="9"/>
  <c r="M30" i="9"/>
  <c r="L28" i="9"/>
  <c r="L30" i="9"/>
  <c r="X28" i="9"/>
  <c r="X30" i="9"/>
  <c r="T30" i="9"/>
  <c r="T28" i="9"/>
  <c r="I30" i="9"/>
  <c r="I28" i="9"/>
  <c r="U28" i="9"/>
  <c r="U30" i="9"/>
  <c r="E34" i="10"/>
  <c r="E103" i="10"/>
  <c r="P28" i="9"/>
  <c r="P30" i="9"/>
  <c r="V30" i="9"/>
  <c r="V28" i="9"/>
  <c r="R28" i="9"/>
  <c r="R30" i="9"/>
  <c r="L64" i="9"/>
  <c r="P64" i="9"/>
  <c r="P38" i="9"/>
  <c r="L61" i="9"/>
  <c r="M64" i="9"/>
  <c r="J64" i="9"/>
  <c r="F64" i="9"/>
  <c r="Q64" i="9"/>
  <c r="P61" i="9"/>
  <c r="G64" i="9"/>
  <c r="I64" i="9"/>
  <c r="L63" i="9"/>
  <c r="Q62" i="9"/>
  <c r="Q61" i="9"/>
  <c r="M62" i="9"/>
  <c r="M61" i="9"/>
  <c r="E49" i="9"/>
  <c r="E50" i="9"/>
  <c r="E52" i="9"/>
  <c r="V62" i="9"/>
  <c r="V61" i="9"/>
  <c r="W62" i="9"/>
  <c r="W61" i="9"/>
  <c r="S61" i="9"/>
  <c r="S62" i="9"/>
  <c r="S80" i="9"/>
  <c r="F62" i="9"/>
  <c r="F63" i="9"/>
  <c r="F61" i="9"/>
  <c r="F75" i="9"/>
  <c r="U80" i="9"/>
  <c r="U62" i="9"/>
  <c r="U61" i="9"/>
  <c r="I61" i="9"/>
  <c r="I63" i="9"/>
  <c r="I62" i="9"/>
  <c r="G62" i="9"/>
  <c r="G61" i="9"/>
  <c r="T62" i="9"/>
  <c r="T61" i="9"/>
  <c r="T80" i="9"/>
  <c r="S64" i="9"/>
  <c r="S83" i="9"/>
  <c r="U64" i="9"/>
  <c r="U83" i="9"/>
  <c r="X62" i="9"/>
  <c r="X61" i="9"/>
  <c r="R62" i="9"/>
  <c r="R61" i="9"/>
  <c r="R80" i="9"/>
  <c r="J61" i="9"/>
  <c r="J62" i="9"/>
  <c r="V64" i="9"/>
  <c r="X64" i="9"/>
  <c r="W64" i="9"/>
  <c r="F76" i="9"/>
  <c r="E39" i="11"/>
  <c r="E48" i="11"/>
  <c r="D18" i="11"/>
  <c r="D17" i="11"/>
  <c r="E50" i="11"/>
  <c r="F29" i="9"/>
  <c r="F31" i="9"/>
  <c r="F26" i="9"/>
  <c r="F27" i="9"/>
  <c r="S26" i="9"/>
  <c r="S27" i="9"/>
  <c r="L40" i="9"/>
  <c r="M29" i="9"/>
  <c r="Q29" i="9"/>
  <c r="G29" i="9"/>
  <c r="U26" i="9"/>
  <c r="U27" i="9"/>
  <c r="U29" i="9"/>
  <c r="I26" i="9"/>
  <c r="I27" i="9"/>
  <c r="I29" i="9"/>
  <c r="I31" i="9"/>
  <c r="L26" i="9"/>
  <c r="L27" i="9"/>
  <c r="L29" i="9"/>
  <c r="L31" i="9"/>
  <c r="R26" i="9"/>
  <c r="R27" i="9"/>
  <c r="R29" i="9"/>
  <c r="T26" i="9"/>
  <c r="T27" i="9"/>
  <c r="T29" i="9"/>
  <c r="P40" i="9"/>
  <c r="V26" i="9"/>
  <c r="V27" i="9"/>
  <c r="V29" i="9"/>
  <c r="W29" i="9"/>
  <c r="W26" i="9"/>
  <c r="W27" i="9"/>
  <c r="X26" i="9"/>
  <c r="X27" i="9"/>
  <c r="X29" i="9"/>
  <c r="P26" i="9"/>
  <c r="P27" i="9"/>
  <c r="P29" i="9"/>
  <c r="P31" i="9"/>
  <c r="J29" i="9"/>
  <c r="J26" i="9"/>
  <c r="J27" i="9"/>
  <c r="I38" i="9"/>
  <c r="I41" i="9"/>
  <c r="F40" i="9"/>
  <c r="L38" i="9"/>
  <c r="I40" i="9"/>
  <c r="I39" i="9"/>
  <c r="F38" i="9"/>
  <c r="L34" i="9"/>
  <c r="L32" i="9"/>
  <c r="L33" i="9"/>
  <c r="L36" i="9"/>
  <c r="L35" i="9"/>
  <c r="Q36" i="9"/>
  <c r="Q63" i="9"/>
  <c r="Q34" i="9"/>
  <c r="M36" i="9"/>
  <c r="M63" i="9"/>
  <c r="M34" i="9"/>
  <c r="E83" i="9"/>
  <c r="E41" i="11"/>
  <c r="X63" i="9"/>
  <c r="X34" i="9"/>
  <c r="X36" i="9"/>
  <c r="T36" i="9"/>
  <c r="T63" i="9"/>
  <c r="T34" i="9"/>
  <c r="T81" i="9"/>
  <c r="U34" i="9"/>
  <c r="U63" i="9"/>
  <c r="U81" i="9"/>
  <c r="U36" i="9"/>
  <c r="R34" i="9"/>
  <c r="R81" i="9"/>
  <c r="R36" i="9"/>
  <c r="R63" i="9"/>
  <c r="S34" i="9"/>
  <c r="S63" i="9"/>
  <c r="S36" i="9"/>
  <c r="S81" i="9"/>
  <c r="V36" i="9"/>
  <c r="V63" i="9"/>
  <c r="V34" i="9"/>
  <c r="E49" i="11"/>
  <c r="E54" i="11"/>
  <c r="E30" i="11"/>
  <c r="J34" i="9"/>
  <c r="J36" i="9"/>
  <c r="J63" i="9"/>
  <c r="E80" i="9"/>
  <c r="G36" i="9"/>
  <c r="G63" i="9"/>
  <c r="G34" i="9"/>
  <c r="W34" i="9"/>
  <c r="W36" i="9"/>
  <c r="W63" i="9"/>
  <c r="P39" i="9"/>
  <c r="P41" i="9"/>
  <c r="L39" i="9"/>
  <c r="L41" i="9"/>
  <c r="M38" i="9"/>
  <c r="M40" i="9"/>
  <c r="Q38" i="9"/>
  <c r="Q40" i="9"/>
  <c r="G38" i="9"/>
  <c r="G40" i="9"/>
  <c r="F39" i="9"/>
  <c r="F41" i="9"/>
  <c r="J38" i="9"/>
  <c r="J40" i="9"/>
  <c r="L37" i="9"/>
  <c r="S31" i="9"/>
  <c r="W31" i="9"/>
  <c r="G31" i="9"/>
  <c r="G26" i="9"/>
  <c r="G27" i="9"/>
  <c r="U31" i="9"/>
  <c r="Q31" i="9"/>
  <c r="V31" i="9"/>
  <c r="J31" i="9"/>
  <c r="T31" i="9"/>
  <c r="R31" i="9"/>
  <c r="X31" i="9"/>
  <c r="M31" i="9"/>
  <c r="T32" i="9"/>
  <c r="T33" i="9"/>
  <c r="X32" i="9"/>
  <c r="X33" i="9"/>
  <c r="M32" i="9"/>
  <c r="M33" i="9"/>
  <c r="S32" i="9"/>
  <c r="S33" i="9"/>
  <c r="W32" i="9"/>
  <c r="W33" i="9"/>
  <c r="V32" i="9"/>
  <c r="V33" i="9"/>
  <c r="R32" i="9"/>
  <c r="R33" i="9"/>
  <c r="U32" i="9"/>
  <c r="U33" i="9"/>
  <c r="Q32" i="9"/>
  <c r="Q33" i="9"/>
  <c r="G32" i="9"/>
  <c r="G33" i="9"/>
  <c r="J32" i="9"/>
  <c r="J33" i="9"/>
  <c r="Q35" i="9"/>
  <c r="Q37" i="9"/>
  <c r="M35" i="9"/>
  <c r="M37" i="9"/>
  <c r="X35" i="9"/>
  <c r="X37" i="9"/>
  <c r="V35" i="9"/>
  <c r="V37" i="9"/>
  <c r="R35" i="9"/>
  <c r="R37" i="9"/>
  <c r="U35" i="9"/>
  <c r="U37" i="9"/>
  <c r="T35" i="9"/>
  <c r="T37" i="9"/>
  <c r="G35" i="9"/>
  <c r="G37" i="9"/>
  <c r="E55" i="11"/>
  <c r="E56" i="11"/>
  <c r="E34" i="11"/>
  <c r="E53" i="11"/>
  <c r="V40" i="9"/>
  <c r="V38" i="9"/>
  <c r="S40" i="9"/>
  <c r="S38" i="9"/>
  <c r="R38" i="9"/>
  <c r="R40" i="9"/>
  <c r="T40" i="9"/>
  <c r="T38" i="9"/>
  <c r="X38" i="9"/>
  <c r="X40" i="9"/>
  <c r="J35" i="9"/>
  <c r="J37" i="9"/>
  <c r="E81" i="9"/>
  <c r="E82" i="9"/>
  <c r="E40" i="11"/>
  <c r="U38" i="9"/>
  <c r="U40" i="9"/>
  <c r="W35" i="9"/>
  <c r="W37" i="9"/>
  <c r="W40" i="9"/>
  <c r="W38" i="9"/>
  <c r="S35" i="9"/>
  <c r="S37" i="9"/>
  <c r="J39" i="9"/>
  <c r="J41" i="9"/>
  <c r="G39" i="9"/>
  <c r="G41" i="9"/>
  <c r="Q39" i="9"/>
  <c r="Q41" i="9"/>
  <c r="M39" i="9"/>
  <c r="M41" i="9"/>
  <c r="S43" i="9"/>
  <c r="T43" i="9"/>
  <c r="R45" i="9"/>
  <c r="S45" i="9"/>
  <c r="U43" i="9"/>
  <c r="T45" i="9"/>
  <c r="R43" i="9"/>
  <c r="U45" i="9"/>
  <c r="E44" i="11"/>
  <c r="F30" i="11"/>
  <c r="E45" i="11"/>
  <c r="E43" i="11"/>
  <c r="E46" i="11"/>
  <c r="F34" i="11"/>
  <c r="X39" i="9"/>
  <c r="X41" i="9"/>
  <c r="R39" i="9"/>
  <c r="R41" i="9"/>
  <c r="U39" i="9"/>
  <c r="U41" i="9"/>
  <c r="V39" i="9"/>
  <c r="V41" i="9"/>
  <c r="T39" i="9"/>
  <c r="T41" i="9"/>
  <c r="S39" i="9"/>
  <c r="S41" i="9"/>
  <c r="E52" i="11"/>
  <c r="E29" i="11"/>
  <c r="W39" i="9"/>
  <c r="W41" i="9"/>
  <c r="S44" i="9"/>
  <c r="S46" i="9"/>
  <c r="T44" i="9"/>
  <c r="T46" i="9"/>
  <c r="R44" i="9"/>
  <c r="R46" i="9"/>
  <c r="U44" i="9"/>
  <c r="U46" i="9"/>
  <c r="E31" i="11"/>
  <c r="E42" i="11"/>
  <c r="F29" i="11"/>
  <c r="E33" i="11"/>
  <c r="E32" i="11"/>
  <c r="F33" i="11"/>
  <c r="F31" i="11"/>
  <c r="F32" i="11"/>
  <c r="D14" i="9"/>
  <c r="D19" i="10"/>
  <c r="D13" i="9"/>
  <c r="O40" i="10"/>
  <c r="P40" i="10"/>
  <c r="W40" i="10"/>
  <c r="R40" i="10"/>
  <c r="R83" i="10"/>
  <c r="S40" i="10"/>
  <c r="S83" i="10"/>
  <c r="Z40" i="10"/>
  <c r="Z38" i="10"/>
  <c r="F40" i="10"/>
  <c r="F63" i="10"/>
  <c r="T40" i="10"/>
  <c r="T83" i="10"/>
  <c r="G40" i="10"/>
  <c r="G63" i="10"/>
  <c r="U40" i="10"/>
  <c r="U38" i="10"/>
  <c r="Y40" i="10"/>
  <c r="Y38" i="10"/>
  <c r="H40" i="10"/>
  <c r="H42" i="10"/>
  <c r="H45" i="10"/>
  <c r="Q40" i="10"/>
  <c r="Q38" i="10"/>
  <c r="I40" i="10"/>
  <c r="I63" i="10"/>
  <c r="V40" i="10"/>
  <c r="V38" i="10"/>
  <c r="J40" i="10"/>
  <c r="J63" i="10"/>
  <c r="K40" i="10"/>
  <c r="K44" i="10"/>
  <c r="X40" i="10"/>
  <c r="X38" i="10"/>
  <c r="L40" i="10"/>
  <c r="L63" i="10"/>
  <c r="M40" i="10"/>
  <c r="M63" i="10"/>
  <c r="N40" i="10"/>
  <c r="N63" i="10"/>
  <c r="I44" i="10"/>
  <c r="F44" i="10"/>
  <c r="S38" i="10"/>
  <c r="R38" i="10"/>
  <c r="O43" i="10"/>
  <c r="W38" i="10"/>
  <c r="O44" i="10"/>
  <c r="I42" i="10"/>
  <c r="I45" i="10"/>
  <c r="M44" i="10"/>
  <c r="M38" i="10"/>
  <c r="M43" i="10"/>
  <c r="L44" i="10"/>
  <c r="F52" i="10"/>
  <c r="F53" i="10"/>
  <c r="F51" i="10"/>
  <c r="F54" i="10"/>
  <c r="F38" i="10"/>
  <c r="F43" i="10"/>
  <c r="K38" i="10"/>
  <c r="K42" i="10"/>
  <c r="K45" i="10"/>
  <c r="J38" i="10"/>
  <c r="J44" i="10"/>
  <c r="J42" i="10"/>
  <c r="J45" i="10"/>
  <c r="J43" i="10"/>
  <c r="K63" i="10"/>
  <c r="K43" i="10"/>
  <c r="L43" i="10"/>
  <c r="L38" i="10"/>
  <c r="F42" i="10"/>
  <c r="F45" i="10"/>
  <c r="L42" i="10"/>
  <c r="L45" i="10"/>
  <c r="G42" i="10"/>
  <c r="G45" i="10"/>
  <c r="H63" i="10"/>
  <c r="H44" i="10"/>
  <c r="H43" i="10"/>
  <c r="G43" i="10"/>
  <c r="N42" i="10"/>
  <c r="N45" i="10"/>
  <c r="M42" i="10"/>
  <c r="M45" i="10"/>
  <c r="G38" i="10"/>
  <c r="T38" i="10"/>
  <c r="U83" i="10"/>
  <c r="E83" i="10"/>
  <c r="E90" i="10"/>
  <c r="E91" i="10"/>
  <c r="N43" i="10"/>
  <c r="I43" i="10"/>
  <c r="N44" i="10"/>
  <c r="E100" i="10"/>
  <c r="E101" i="10"/>
  <c r="P63" i="10"/>
  <c r="P44" i="10"/>
  <c r="P43" i="10"/>
  <c r="P42" i="10"/>
  <c r="P45" i="10"/>
  <c r="P38" i="10"/>
  <c r="I38" i="10"/>
  <c r="N38" i="10"/>
  <c r="H38" i="10"/>
  <c r="G44" i="10"/>
  <c r="O63" i="10"/>
  <c r="O42" i="10"/>
  <c r="O45" i="10"/>
  <c r="O38" i="10"/>
  <c r="F70" i="10"/>
  <c r="F73" i="10"/>
  <c r="F72" i="10"/>
  <c r="E56" i="10"/>
  <c r="F71" i="10"/>
  <c r="E55" i="10"/>
  <c r="AA38" i="10"/>
  <c r="K64" i="10"/>
  <c r="K66" i="10"/>
  <c r="U86" i="10"/>
  <c r="R86" i="10"/>
  <c r="T86" i="10"/>
  <c r="E57" i="10"/>
  <c r="K69" i="10"/>
  <c r="K65" i="10"/>
  <c r="M64" i="10"/>
  <c r="M66" i="10"/>
  <c r="I64" i="10"/>
  <c r="I65" i="10"/>
  <c r="I68" i="10"/>
  <c r="K67" i="10"/>
  <c r="J64" i="10"/>
  <c r="S86" i="10"/>
  <c r="S64" i="10"/>
  <c r="S65" i="10"/>
  <c r="S68" i="10"/>
  <c r="X64" i="10"/>
  <c r="X65" i="10"/>
  <c r="R64" i="10"/>
  <c r="O64" i="10"/>
  <c r="P64" i="10"/>
  <c r="P66" i="10"/>
  <c r="Y64" i="10"/>
  <c r="T64" i="10"/>
  <c r="T69" i="10"/>
  <c r="T87" i="10"/>
  <c r="U64" i="10"/>
  <c r="U65" i="10"/>
  <c r="Q64" i="10"/>
  <c r="F64" i="10"/>
  <c r="F69" i="10"/>
  <c r="W64" i="10"/>
  <c r="W65" i="10"/>
  <c r="W68" i="10"/>
  <c r="L64" i="10"/>
  <c r="L69" i="10"/>
  <c r="V64" i="10"/>
  <c r="V69" i="10"/>
  <c r="H64" i="10"/>
  <c r="H67" i="10"/>
  <c r="Z64" i="10"/>
  <c r="Z69" i="10"/>
  <c r="N64" i="10"/>
  <c r="G64" i="10"/>
  <c r="O66" i="10"/>
  <c r="X66" i="10"/>
  <c r="X69" i="10"/>
  <c r="X67" i="10"/>
  <c r="E59" i="10"/>
  <c r="E58" i="10"/>
  <c r="E60" i="10"/>
  <c r="U66" i="10"/>
  <c r="T67" i="10"/>
  <c r="T65" i="10"/>
  <c r="T84" i="10"/>
  <c r="R66" i="10"/>
  <c r="R84" i="10"/>
  <c r="R65" i="10"/>
  <c r="R67" i="10"/>
  <c r="R69" i="10"/>
  <c r="R87" i="10"/>
  <c r="X68" i="10"/>
  <c r="X51" i="10"/>
  <c r="K68" i="10"/>
  <c r="M67" i="10"/>
  <c r="F66" i="10"/>
  <c r="T66" i="10"/>
  <c r="X53" i="10"/>
  <c r="U67" i="10"/>
  <c r="F79" i="10"/>
  <c r="P65" i="10"/>
  <c r="P68" i="10"/>
  <c r="F65" i="10"/>
  <c r="F68" i="10"/>
  <c r="Z65" i="10"/>
  <c r="Z68" i="10"/>
  <c r="Z42" i="10"/>
  <c r="Z66" i="10"/>
  <c r="Z67" i="10"/>
  <c r="L67" i="10"/>
  <c r="I69" i="10"/>
  <c r="I66" i="10"/>
  <c r="W69" i="10"/>
  <c r="W44" i="10"/>
  <c r="M69" i="10"/>
  <c r="S69" i="10"/>
  <c r="S87" i="10"/>
  <c r="S85" i="10"/>
  <c r="S67" i="10"/>
  <c r="S66" i="10"/>
  <c r="W67" i="10"/>
  <c r="S84" i="10"/>
  <c r="M65" i="10"/>
  <c r="M68" i="10"/>
  <c r="I67" i="10"/>
  <c r="V66" i="10"/>
  <c r="V65" i="10"/>
  <c r="W51" i="10"/>
  <c r="J69" i="10"/>
  <c r="J67" i="10"/>
  <c r="J65" i="10"/>
  <c r="J66" i="10"/>
  <c r="V67" i="10"/>
  <c r="U84" i="10"/>
  <c r="U69" i="10"/>
  <c r="U87" i="10"/>
  <c r="F67" i="10"/>
  <c r="W66" i="10"/>
  <c r="Y66" i="10"/>
  <c r="Y65" i="10"/>
  <c r="Y67" i="10"/>
  <c r="Y69" i="10"/>
  <c r="F80" i="10"/>
  <c r="P69" i="10"/>
  <c r="P67" i="10"/>
  <c r="O69" i="10"/>
  <c r="O65" i="10"/>
  <c r="O67" i="10"/>
  <c r="H69" i="10"/>
  <c r="H65" i="10"/>
  <c r="L65" i="10"/>
  <c r="L66" i="10"/>
  <c r="G69" i="10"/>
  <c r="G66" i="10"/>
  <c r="G67" i="10"/>
  <c r="G65" i="10"/>
  <c r="G68" i="10"/>
  <c r="H66" i="10"/>
  <c r="N65" i="10"/>
  <c r="N67" i="10"/>
  <c r="N66" i="10"/>
  <c r="N69" i="10"/>
  <c r="Q67" i="10"/>
  <c r="Q69" i="10"/>
  <c r="Q66" i="10"/>
  <c r="Q65" i="10"/>
  <c r="Z44" i="10"/>
  <c r="Z43" i="10"/>
  <c r="Z45" i="10"/>
  <c r="U68" i="10"/>
  <c r="U85" i="10"/>
  <c r="U51" i="10"/>
  <c r="T85" i="10"/>
  <c r="T51" i="10"/>
  <c r="T68" i="10"/>
  <c r="T53" i="10"/>
  <c r="U53" i="10"/>
  <c r="S53" i="10"/>
  <c r="S51" i="10"/>
  <c r="R68" i="10"/>
  <c r="R85" i="10"/>
  <c r="X52" i="10"/>
  <c r="X54" i="10"/>
  <c r="X42" i="10"/>
  <c r="X44" i="10"/>
  <c r="E84" i="10"/>
  <c r="Z51" i="10"/>
  <c r="S42" i="10"/>
  <c r="S44" i="10"/>
  <c r="E87" i="10"/>
  <c r="E93" i="10"/>
  <c r="W42" i="10"/>
  <c r="W43" i="10"/>
  <c r="W45" i="10"/>
  <c r="W53" i="10"/>
  <c r="W52" i="10"/>
  <c r="W54" i="10"/>
  <c r="V51" i="10"/>
  <c r="J53" i="10"/>
  <c r="J51" i="10"/>
  <c r="K51" i="10"/>
  <c r="K53" i="10"/>
  <c r="K52" i="10"/>
  <c r="K54" i="10"/>
  <c r="J68" i="10"/>
  <c r="V68" i="10"/>
  <c r="V53" i="10"/>
  <c r="Y53" i="10"/>
  <c r="Y51" i="10"/>
  <c r="Z53" i="10"/>
  <c r="Z52" i="10"/>
  <c r="Z54" i="10"/>
  <c r="Y68" i="10"/>
  <c r="E102" i="10"/>
  <c r="E108" i="10"/>
  <c r="E33" i="10"/>
  <c r="P53" i="10"/>
  <c r="O68" i="10"/>
  <c r="P51" i="10"/>
  <c r="G51" i="10"/>
  <c r="G53" i="10"/>
  <c r="Q53" i="10"/>
  <c r="Q68" i="10"/>
  <c r="Q51" i="10"/>
  <c r="R53" i="10"/>
  <c r="L51" i="10"/>
  <c r="L53" i="10"/>
  <c r="M51" i="10"/>
  <c r="L68" i="10"/>
  <c r="M53" i="10"/>
  <c r="R51" i="10"/>
  <c r="H51" i="10"/>
  <c r="H53" i="10"/>
  <c r="H68" i="10"/>
  <c r="I53" i="10"/>
  <c r="I51" i="10"/>
  <c r="N51" i="10"/>
  <c r="N53" i="10"/>
  <c r="O53" i="10"/>
  <c r="O51" i="10"/>
  <c r="N68" i="10"/>
  <c r="E105" i="10"/>
  <c r="E106" i="10"/>
  <c r="E29" i="10"/>
  <c r="S52" i="10"/>
  <c r="S54" i="10"/>
  <c r="E107" i="10"/>
  <c r="E85" i="10"/>
  <c r="E86" i="10"/>
  <c r="E92" i="10"/>
  <c r="E98" i="10"/>
  <c r="F33" i="10"/>
  <c r="T52" i="10"/>
  <c r="T54" i="10"/>
  <c r="U52" i="10"/>
  <c r="U54" i="10"/>
  <c r="U44" i="10"/>
  <c r="U42" i="10"/>
  <c r="T42" i="10"/>
  <c r="T44" i="10"/>
  <c r="R42" i="10"/>
  <c r="R44" i="10"/>
  <c r="X43" i="10"/>
  <c r="X45" i="10"/>
  <c r="E104" i="10"/>
  <c r="E28" i="10"/>
  <c r="V52" i="10"/>
  <c r="V54" i="10"/>
  <c r="S43" i="10"/>
  <c r="S45" i="10"/>
  <c r="G52" i="10"/>
  <c r="G54" i="10"/>
  <c r="I52" i="10"/>
  <c r="I54" i="10"/>
  <c r="Y52" i="10"/>
  <c r="Y54" i="10"/>
  <c r="V44" i="10"/>
  <c r="V42" i="10"/>
  <c r="R52" i="10"/>
  <c r="R54" i="10"/>
  <c r="J52" i="10"/>
  <c r="J54" i="10"/>
  <c r="O52" i="10"/>
  <c r="O54" i="10"/>
  <c r="P52" i="10"/>
  <c r="P54" i="10"/>
  <c r="L52" i="10"/>
  <c r="L54" i="10"/>
  <c r="Y42" i="10"/>
  <c r="Y44" i="10"/>
  <c r="Q52" i="10"/>
  <c r="Q54" i="10"/>
  <c r="H52" i="10"/>
  <c r="H54" i="10"/>
  <c r="M52" i="10"/>
  <c r="M54" i="10"/>
  <c r="N52" i="10"/>
  <c r="N54" i="10"/>
  <c r="Q44" i="10"/>
  <c r="Q42" i="10"/>
  <c r="E95" i="10"/>
  <c r="E96" i="10"/>
  <c r="F29" i="10"/>
  <c r="U49" i="10"/>
  <c r="R47" i="10"/>
  <c r="T47" i="10"/>
  <c r="T49" i="10"/>
  <c r="U47" i="10"/>
  <c r="S47" i="10"/>
  <c r="R49" i="10"/>
  <c r="T43" i="10"/>
  <c r="T45" i="10"/>
  <c r="S49" i="10"/>
  <c r="E97" i="10"/>
  <c r="U43" i="10"/>
  <c r="U45" i="10"/>
  <c r="R43" i="10"/>
  <c r="R45" i="10"/>
  <c r="E32" i="10"/>
  <c r="E30" i="10"/>
  <c r="Y43" i="10"/>
  <c r="Y45" i="10"/>
  <c r="V43" i="10"/>
  <c r="V45" i="10"/>
  <c r="R48" i="10"/>
  <c r="R50" i="10"/>
  <c r="Q43" i="10"/>
  <c r="Q45" i="10"/>
  <c r="S48" i="10"/>
  <c r="U48" i="10"/>
  <c r="U50" i="10"/>
  <c r="T48" i="10"/>
  <c r="T50" i="10"/>
  <c r="S50" i="10"/>
  <c r="E94" i="10"/>
  <c r="E31" i="10"/>
  <c r="F28" i="10"/>
  <c r="F30" i="10"/>
  <c r="F32" i="10"/>
  <c r="F31"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Reviewer</author>
    <author>Will</author>
    <author>Will Hopkins</author>
  </authors>
  <commentList>
    <comment ref="D2" authorId="0" shapeId="0" xr:uid="{00000000-0006-0000-0000-000001000000}">
      <text>
        <r>
          <rPr>
            <sz val="9"/>
            <color indexed="81"/>
            <rFont val="Tahoma"/>
            <family val="2"/>
          </rPr>
          <t>Hopkins WG (2017). A spreadsheet for monitoring an individual's changes and trend. Sportscience 21, 5-9 (sportsci.org/2017/wghtrend.htm).</t>
        </r>
      </text>
    </comment>
    <comment ref="D22" authorId="1" shapeId="0" xr:uid="{00000000-0006-0000-0000-000002000000}">
      <text>
        <r>
          <rPr>
            <sz val="8"/>
            <color indexed="81"/>
            <rFont val="Tahoma"/>
            <family val="2"/>
          </rPr>
          <t>This number represents how certain you want to be when you say a substantial or trivial change has definitely occurred. 
Choose 90% or more for tests with negligible noise (typical error less than half the smallest important change).  When the true change since a previous test is around the smallest important change, you will make a wrong conclusion only 100-90=10% of the time or less.
For noisy tests, you pay a price for being more careful: more changes will be unclear or inconclusive. A value of 90% may be too high for such tests. For example, if the typical error is 3.3x the smallest important change (measures of competitive performance time or distance of solo athletes), and the true change is around the smallest important, 10-15% of  changes will be indicated incorrectly, but 70% of changes will be unclear. If you choose 80%, 20-30% of changes will be incorrect, but only 45% of changes will be unclear.</t>
        </r>
      </text>
    </comment>
    <comment ref="D23" authorId="1" shapeId="0" xr:uid="{00000000-0006-0000-0000-000003000000}">
      <text>
        <r>
          <rPr>
            <sz val="8"/>
            <color indexed="81"/>
            <rFont val="Tahoma"/>
            <family val="2"/>
          </rPr>
          <t>A possible increase is also usually a possible trivial change. A possible decrease is also usually a possibly trivial change</t>
        </r>
        <r>
          <rPr>
            <sz val="8"/>
            <color indexed="81"/>
            <rFont val="Tahoma"/>
            <family val="2"/>
          </rPr>
          <t xml:space="preserve">.
Whether you act on possible changes is up to you and the individual you are assessing. The actual chances of changes shown in the analysis cells should help guide your decision.
</t>
        </r>
      </text>
    </comment>
    <comment ref="D27" authorId="1" shapeId="0" xr:uid="{00000000-0006-0000-0000-000004000000}">
      <text>
        <r>
          <rPr>
            <sz val="9"/>
            <color indexed="81"/>
            <rFont val="Tahoma"/>
            <family val="2"/>
          </rPr>
          <t xml:space="preserve">Some practitioners like to thnk about decisive changes in this way. 
The number shown represents the number of typical errors greater than the smallest important change that the observed change has to be before it is judged to be decisive. 
If 90% is chosen as </t>
        </r>
        <r>
          <rPr>
            <i/>
            <sz val="9"/>
            <color indexed="81"/>
            <rFont val="Tahoma"/>
            <family val="2"/>
          </rPr>
          <t>very likely</t>
        </r>
        <r>
          <rPr>
            <sz val="9"/>
            <color indexed="81"/>
            <rFont val="Tahoma"/>
            <family val="2"/>
          </rPr>
          <t xml:space="preserve">, the number is 1.8-2.0 typical errors, depending on the degrees of freedom for the typical error. If 85% is chosen, the number is 1.5-1.6.  (The value shown here is for a large number of degrees of freedom.) 
</t>
        </r>
      </text>
    </comment>
    <comment ref="F30" authorId="1" shapeId="0" xr:uid="{00000000-0006-0000-0000-000005000000}">
      <text>
        <r>
          <rPr>
            <sz val="9"/>
            <color indexed="81"/>
            <rFont val="Tahoma"/>
            <family val="2"/>
          </rPr>
          <t xml:space="preserve">This is the smallest important change over a short term. It must be a positive value, regardless of whether a positive value is beneficial or harmful.
If the individual is a top athlete competing for a medal, it's the change in the performance measure associated with one extra medal every 10 competitions, which amounts to 0.3 of the variability that individual top athletes show from one competition to the next. You have to be very careful about translating this change in the competition measure of performance (usually time or distance) into a change in the performance test (usually power output).
For all other individuals, it's the change associated with the smallest important change in a health or injury risk factor.  If you do not have such information, use "standardization": 0.2 of the between-subject standard deviation in the population in which your individual belongs.  Standardization is particularly appropriate for tests and performance indicators of team-sport athletes.
With some measures, there is no quantified association with a performance, health or injury outcome, but a between-subject standard deviation is hard to define, usually because the measure is highly variable and there are substantial differences between individuals in the variability itself (e.g., some measures of heart rate derived from heart-rate variability). However, you may still be interested in assessing changes that are "unusual" for an individual: changes that are unlikely to be due simply to the variability (typical error, or error of measurement).  For such measures, decide on what you mean by unusual with the definition of </t>
        </r>
        <r>
          <rPr>
            <i/>
            <sz val="9"/>
            <color indexed="81"/>
            <rFont val="Tahoma"/>
            <family val="2"/>
          </rPr>
          <t xml:space="preserve">very likely </t>
        </r>
        <r>
          <rPr>
            <sz val="9"/>
            <color indexed="81"/>
            <rFont val="Tahoma"/>
            <family val="2"/>
          </rPr>
          <t xml:space="preserve">in Cell E22 (e.g., 90%).  Cell E24 then defines </t>
        </r>
        <r>
          <rPr>
            <i/>
            <sz val="9"/>
            <color indexed="81"/>
            <rFont val="Tahoma"/>
            <family val="2"/>
          </rPr>
          <t>very unusual</t>
        </r>
        <r>
          <rPr>
            <sz val="9"/>
            <color indexed="81"/>
            <rFont val="Tahoma"/>
            <family val="2"/>
          </rPr>
          <t>. The default of 10% is probably about right for most situations.  Now set the smallest important change to zero (or leave the two cells blank). The spreadsheet now shows you outcomes that are either unclear (?), very likely an increase (</t>
        </r>
        <r>
          <rPr>
            <sz val="9"/>
            <color indexed="81"/>
            <rFont val="Symbol"/>
            <family val="1"/>
            <charset val="2"/>
          </rPr>
          <t>­</t>
        </r>
        <r>
          <rPr>
            <sz val="9"/>
            <color indexed="81"/>
            <rFont val="Tahoma"/>
            <family val="2"/>
          </rPr>
          <t>*), or very likely a decrease (</t>
        </r>
        <r>
          <rPr>
            <sz val="9"/>
            <color indexed="81"/>
            <rFont val="Symbol"/>
            <family val="1"/>
            <charset val="2"/>
          </rPr>
          <t>¯</t>
        </r>
        <r>
          <rPr>
            <sz val="9"/>
            <color indexed="81"/>
            <rFont val="Tahoma"/>
            <family val="2"/>
          </rPr>
          <t>*). These decisive changes are the changes that are very unlikely to be due to chance, but keep in mind that, if the real change is zero, you will see decisive and therefore erroneous increases 10% of the time and decreases 10% of the time, if E22 is set to 90%.</t>
        </r>
      </text>
    </comment>
    <comment ref="H30" authorId="1" shapeId="0" xr:uid="{00000000-0006-0000-0000-000006000000}">
      <text>
        <r>
          <rPr>
            <sz val="9"/>
            <color indexed="81"/>
            <rFont val="Tahoma"/>
            <family val="2"/>
          </rPr>
          <t>The typical error is the standard error of measurement, which is the typical variation in repeated measurements, or the standard deviation of an individual's scores when there is no trend in the measurements. It can be derived from a short-term reliability study. 
If you insert the typical error in percent units, the calculations for confidence limits and chances of true change are performed with percents converted to raw values.
If, to improve precision, you average n first tests and n second tests before inserting the average values, the value you insert for the typical error should be divided by sqrt(n).</t>
        </r>
      </text>
    </comment>
    <comment ref="J30" authorId="1" shapeId="0" xr:uid="{00000000-0006-0000-0000-000007000000}">
      <text>
        <r>
          <rPr>
            <sz val="9"/>
            <color indexed="81"/>
            <rFont val="Tahoma"/>
            <family val="2"/>
          </rPr>
          <t xml:space="preserve">Usually one less than the number of change scores in the reliability study used to estimate the typical error. The number does not need to be exact. Any number &gt;20 is effectively infinite and makes no real difference to the calculations.
</t>
        </r>
      </text>
    </comment>
    <comment ref="D31" authorId="1" shapeId="0" xr:uid="{00000000-0006-0000-0000-000008000000}">
      <text>
        <r>
          <rPr>
            <sz val="9"/>
            <color indexed="81"/>
            <rFont val="Tahoma"/>
            <family val="2"/>
          </rPr>
          <t>You can overwrite this value with a change score, rather than inserting a first and second value.</t>
        </r>
      </text>
    </comment>
    <comment ref="P31" authorId="2" shapeId="0" xr:uid="{00000000-0006-0000-0000-000009000000}">
      <text>
        <r>
          <rPr>
            <sz val="8"/>
            <color indexed="81"/>
            <rFont val="Tahoma"/>
            <family val="2"/>
          </rPr>
          <t xml:space="preserve">Changes that are </t>
        </r>
        <r>
          <rPr>
            <b/>
            <sz val="8"/>
            <color indexed="81"/>
            <rFont val="Tahoma"/>
            <family val="2"/>
          </rPr>
          <t>unclear—</t>
        </r>
        <r>
          <rPr>
            <sz val="8"/>
            <color indexed="81"/>
            <rFont val="Tahoma"/>
            <family val="2"/>
          </rPr>
          <t xml:space="preserve">that is, the chances indicate that the true change could be a substantial increase and a substantial decrease—are indicated with </t>
        </r>
        <r>
          <rPr>
            <b/>
            <sz val="8"/>
            <color indexed="81"/>
            <rFont val="Tahoma"/>
            <family val="2"/>
          </rPr>
          <t>?</t>
        </r>
        <r>
          <rPr>
            <sz val="8"/>
            <color indexed="81"/>
            <rFont val="Tahoma"/>
            <family val="2"/>
          </rPr>
          <t xml:space="preserve"> (equivalent to </t>
        </r>
        <r>
          <rPr>
            <b/>
            <sz val="8"/>
            <color indexed="81"/>
            <rFont val="Symbol"/>
            <family val="1"/>
            <charset val="2"/>
          </rPr>
          <t>­¯</t>
        </r>
        <r>
          <rPr>
            <sz val="8"/>
            <color indexed="81"/>
            <rFont val="Tahoma"/>
            <family val="2"/>
          </rPr>
          <t xml:space="preserve">).
Changes are otherwise indicated with </t>
        </r>
        <r>
          <rPr>
            <b/>
            <sz val="8"/>
            <color indexed="81"/>
            <rFont val="Symbol"/>
            <family val="1"/>
            <charset val="2"/>
          </rPr>
          <t xml:space="preserve">« </t>
        </r>
        <r>
          <rPr>
            <sz val="8"/>
            <color indexed="81"/>
            <rFont val="Tahoma"/>
            <family val="2"/>
          </rPr>
          <t xml:space="preserve">and/or </t>
        </r>
        <r>
          <rPr>
            <b/>
            <sz val="8"/>
            <color indexed="81"/>
            <rFont val="Symbol"/>
            <family val="1"/>
            <charset val="2"/>
          </rPr>
          <t>­</t>
        </r>
        <r>
          <rPr>
            <sz val="8"/>
            <color indexed="81"/>
            <rFont val="Symbol"/>
            <family val="1"/>
            <charset val="2"/>
          </rPr>
          <t xml:space="preserve"> </t>
        </r>
        <r>
          <rPr>
            <sz val="8"/>
            <color indexed="81"/>
            <rFont val="Tahoma"/>
            <family val="2"/>
          </rPr>
          <t>and/or</t>
        </r>
        <r>
          <rPr>
            <sz val="8"/>
            <color indexed="81"/>
            <rFont val="Symbol"/>
            <family val="1"/>
            <charset val="2"/>
          </rPr>
          <t xml:space="preserve"> </t>
        </r>
        <r>
          <rPr>
            <b/>
            <sz val="8"/>
            <color indexed="81"/>
            <rFont val="Symbol"/>
            <family val="1"/>
            <charset val="2"/>
          </rPr>
          <t>¯</t>
        </r>
        <r>
          <rPr>
            <sz val="8"/>
            <color indexed="81"/>
            <rFont val="Tahoma"/>
            <family val="2"/>
          </rPr>
          <t xml:space="preserve"> to show that they could be trivial and/or a substantial increase and/or a substantial decrease.
Changes that are </t>
        </r>
        <r>
          <rPr>
            <i/>
            <sz val="8"/>
            <color indexed="81"/>
            <rFont val="Tahoma"/>
            <family val="2"/>
          </rPr>
          <t>very likely</t>
        </r>
        <r>
          <rPr>
            <sz val="8"/>
            <color indexed="81"/>
            <rFont val="Tahoma"/>
            <family val="2"/>
          </rPr>
          <t xml:space="preserve"> trivial or substantial are indicated with an asterisk (</t>
        </r>
        <r>
          <rPr>
            <sz val="8"/>
            <color indexed="81"/>
            <rFont val="Symbol"/>
            <family val="1"/>
            <charset val="2"/>
          </rPr>
          <t>*</t>
        </r>
        <r>
          <rPr>
            <sz val="8"/>
            <color indexed="81"/>
            <rFont val="Tahoma"/>
            <family val="2"/>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Reviewer</author>
  </authors>
  <commentList>
    <comment ref="D2" authorId="0" shapeId="0" xr:uid="{00000000-0006-0000-0100-000001000000}">
      <text>
        <r>
          <rPr>
            <sz val="9"/>
            <color indexed="81"/>
            <rFont val="Tahoma"/>
            <family val="2"/>
          </rPr>
          <t>Hopkins WG (2017). A spreadsheet for monitoring an individual's changes and trend. Sportscience 21, 5-9 (sportsci.org/2017/wghtrend.htm).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Will</author>
    <author>Will Hopkins</author>
  </authors>
  <commentList>
    <comment ref="E2" authorId="0" shapeId="0" xr:uid="{00000000-0006-0000-0200-000001000000}">
      <text>
        <r>
          <rPr>
            <b/>
            <sz val="9"/>
            <color indexed="81"/>
            <rFont val="Tahoma"/>
            <family val="2"/>
          </rPr>
          <t xml:space="preserve">Feb. </t>
        </r>
        <r>
          <rPr>
            <sz val="9"/>
            <color indexed="81"/>
            <rFont val="Tahoma"/>
            <family val="2"/>
          </rPr>
          <t xml:space="preserve">Added a panel for changes from chosen reference test(s)
</t>
        </r>
      </text>
    </comment>
    <comment ref="F2" authorId="0" shapeId="0" xr:uid="{00000000-0006-0000-0200-000002000000}">
      <text>
        <r>
          <rPr>
            <b/>
            <sz val="9"/>
            <color indexed="81"/>
            <rFont val="Tahoma"/>
            <family val="2"/>
          </rPr>
          <t xml:space="preserve">June. </t>
        </r>
        <r>
          <rPr>
            <sz val="9"/>
            <color indexed="81"/>
            <rFont val="Tahoma"/>
            <family val="2"/>
          </rPr>
          <t>Added instructions in comments of Cells C11 and C12 to explain what to do to avoid #DIV/0! for calculated raw or percent typical error when you want to fit a regression line through all your scores.</t>
        </r>
        <r>
          <rPr>
            <b/>
            <sz val="9"/>
            <color indexed="81"/>
            <rFont val="Tahoma"/>
            <family val="2"/>
          </rPr>
          <t xml:space="preserve">
Mar. </t>
        </r>
        <r>
          <rPr>
            <sz val="9"/>
            <color indexed="81"/>
            <rFont val="Tahoma"/>
            <family val="2"/>
          </rPr>
          <t xml:space="preserve">Fixed a bug that produced #REF! instead of a change score when a column was deleted. Also gave Cell E66 a red font and clear background to highlight it as the mean of the chosen scores to average.
</t>
        </r>
      </text>
    </comment>
    <comment ref="G2" authorId="0" shapeId="0" xr:uid="{00000000-0006-0000-0200-000003000000}">
      <text>
        <r>
          <rPr>
            <b/>
            <sz val="9"/>
            <color indexed="81"/>
            <rFont val="Tahoma"/>
            <family val="2"/>
          </rPr>
          <t xml:space="preserve">Oct. </t>
        </r>
        <r>
          <rPr>
            <sz val="9"/>
            <color indexed="81"/>
            <rFont val="Tahoma"/>
            <family val="2"/>
          </rPr>
          <t>Added rows for raw and percent change scores and moved the rows for analysis of change scores up underneath the row of data.</t>
        </r>
        <r>
          <rPr>
            <b/>
            <sz val="9"/>
            <color indexed="81"/>
            <rFont val="Tahoma"/>
            <family val="2"/>
          </rPr>
          <t xml:space="preserve">
May. </t>
        </r>
        <r>
          <rPr>
            <sz val="9"/>
            <color indexed="81"/>
            <rFont val="Tahoma"/>
            <family val="2"/>
          </rPr>
          <t xml:space="preserve">Added a spreadsheet for assessing a single simple change, on the tab Simple change.
</t>
        </r>
        <r>
          <rPr>
            <b/>
            <sz val="9"/>
            <color indexed="81"/>
            <rFont val="Tahoma"/>
            <family val="2"/>
          </rPr>
          <t xml:space="preserve">
Mar</t>
        </r>
        <r>
          <rPr>
            <sz val="9"/>
            <color indexed="81"/>
            <rFont val="Tahoma"/>
            <family val="2"/>
          </rPr>
          <t xml:space="preserve">. Selection of a value to define chances is now for </t>
        </r>
        <r>
          <rPr>
            <i/>
            <sz val="9"/>
            <color indexed="81"/>
            <rFont val="Tahoma"/>
            <family val="2"/>
          </rPr>
          <t>very likely</t>
        </r>
        <r>
          <rPr>
            <sz val="9"/>
            <color indexed="81"/>
            <rFont val="Tahoma"/>
            <family val="2"/>
          </rPr>
          <t xml:space="preserve"> or </t>
        </r>
        <r>
          <rPr>
            <i/>
            <sz val="9"/>
            <color indexed="81"/>
            <rFont val="Tahoma"/>
            <family val="2"/>
          </rPr>
          <t>decisive</t>
        </r>
        <r>
          <rPr>
            <sz val="9"/>
            <color indexed="81"/>
            <rFont val="Tahoma"/>
            <family val="2"/>
          </rPr>
          <t xml:space="preserve">, rather than for </t>
        </r>
        <r>
          <rPr>
            <i/>
            <sz val="9"/>
            <color indexed="81"/>
            <rFont val="Tahoma"/>
            <family val="2"/>
          </rPr>
          <t>very unlikely</t>
        </r>
        <r>
          <rPr>
            <sz val="9"/>
            <color indexed="81"/>
            <rFont val="Tahoma"/>
            <family val="2"/>
          </rPr>
          <t xml:space="preserve">.  Chances for </t>
        </r>
        <r>
          <rPr>
            <i/>
            <sz val="9"/>
            <color indexed="81"/>
            <rFont val="Tahoma"/>
            <family val="2"/>
          </rPr>
          <t>possible</t>
        </r>
        <r>
          <rPr>
            <sz val="9"/>
            <color indexed="81"/>
            <rFont val="Tahoma"/>
            <family val="2"/>
          </rPr>
          <t xml:space="preserve"> and </t>
        </r>
        <r>
          <rPr>
            <i/>
            <sz val="9"/>
            <color indexed="81"/>
            <rFont val="Tahoma"/>
            <family val="2"/>
          </rPr>
          <t>unclear</t>
        </r>
        <r>
          <rPr>
            <sz val="9"/>
            <color indexed="81"/>
            <rFont val="Tahoma"/>
            <family val="2"/>
          </rPr>
          <t xml:space="preserve"> values now defined. Explanation of resulting error rates also made clearer and more practical. Chances of seeing various outcomes reorganized, moved to a separate tab, and chances of</t>
        </r>
        <r>
          <rPr>
            <sz val="9"/>
            <color indexed="81"/>
            <rFont val="Symbol"/>
            <family val="1"/>
            <charset val="2"/>
          </rPr>
          <t xml:space="preserve"> «</t>
        </r>
        <r>
          <rPr>
            <sz val="9"/>
            <color indexed="81"/>
            <rFont val="Tahoma"/>
            <family val="2"/>
          </rPr>
          <t>* added.</t>
        </r>
        <r>
          <rPr>
            <b/>
            <sz val="9"/>
            <color indexed="81"/>
            <rFont val="Tahoma"/>
            <family val="2"/>
          </rPr>
          <t xml:space="preserve">
Feb</t>
        </r>
        <r>
          <rPr>
            <sz val="9"/>
            <color indexed="81"/>
            <rFont val="Tahoma"/>
            <family val="2"/>
          </rPr>
          <t xml:space="preserve">. Added panel for chances of various outcomes with a given true change. Also corrected an error in the chances of deviation from the trend, whereby I was effectively including the error in the individual points beyond the trend twice.   </t>
        </r>
      </text>
    </comment>
    <comment ref="D4" authorId="0" shapeId="0" xr:uid="{00000000-0006-0000-0200-000004000000}">
      <text>
        <r>
          <rPr>
            <sz val="8"/>
            <color indexed="81"/>
            <rFont val="Tahoma"/>
            <family val="2"/>
          </rPr>
          <t>This number represents how certain you want to be when you say a substantial or trivial change has definitely occurred. 
Choose 90% or more for tests with negligible noise (typical error less than half the smallest important change).  When the true change since a previous test is around the smallest important change, you will make a wrong conclusion only 100-90=10% of the time or less.
For noisy tests, you pay a price for being more careful: more changes will be unclear or inconclusive. A value of 90% may be too high for such tests. For example, if the typical error is 3.3x the smallest important change (measures of competitive performance time or distance of solo athletes), and the true change is around the smallest important, 10-15% of  changes will be indicated incorrectly, but 70% of changes will be unclear. If you choose 80%, 20-30% of changes will be incorrect, but only 45% of changes will be unclear.</t>
        </r>
      </text>
    </comment>
    <comment ref="D5" authorId="0" shapeId="0" xr:uid="{00000000-0006-0000-0200-000005000000}">
      <text>
        <r>
          <rPr>
            <sz val="8"/>
            <color indexed="81"/>
            <rFont val="Tahoma"/>
            <family val="2"/>
          </rPr>
          <t xml:space="preserve">A possible increase is also usually a possible trivial change, hence </t>
        </r>
        <r>
          <rPr>
            <sz val="8"/>
            <color indexed="81"/>
            <rFont val="Symbol"/>
            <family val="1"/>
            <charset val="2"/>
          </rPr>
          <t>­«</t>
        </r>
        <r>
          <rPr>
            <sz val="8"/>
            <color indexed="81"/>
            <rFont val="Tahoma"/>
            <family val="2"/>
          </rPr>
          <t xml:space="preserve">.  A possible decrease is also usually a possibly trivial change, hence </t>
        </r>
        <r>
          <rPr>
            <sz val="8"/>
            <color indexed="81"/>
            <rFont val="Symbol"/>
            <family val="1"/>
            <charset val="2"/>
          </rPr>
          <t>«¯</t>
        </r>
        <r>
          <rPr>
            <sz val="8"/>
            <color indexed="81"/>
            <rFont val="Tahoma"/>
            <family val="2"/>
          </rPr>
          <t xml:space="preserve">.
Whether you act on possible changes is up to you and the individual you are assessing. The actual chances of changes shown in the analysis cells should help guide your decision.
</t>
        </r>
      </text>
    </comment>
    <comment ref="F12" authorId="0" shapeId="0" xr:uid="{00000000-0006-0000-0200-000006000000}">
      <text>
        <r>
          <rPr>
            <sz val="9"/>
            <color indexed="81"/>
            <rFont val="Tahoma"/>
            <charset val="1"/>
          </rPr>
          <t xml:space="preserve">The typical error is the standard error of measurement, which is the typical variation in repeated measurements, or the standard deviation of an individual's scores when there is no trend in the measurements. It can be derived from a short-term reliability study. 
If you insert the typical error in percent units, the calculations for confidence limits and chances of true change are performed with percents converted to raw values.
If, to improve precision, you average n repeats on each testing occasion before inserting the averaged values, the value you insert for the typical error should be divided by sqrt(n). If you allow this spreadsheet to provide the typical error (as the standard error of the estimate from the trend analysis), it will automatically be a smaller typical error appropriate for the averaging of the repeats.
</t>
        </r>
      </text>
    </comment>
    <comment ref="C13" authorId="1" shapeId="0" xr:uid="{00000000-0006-0000-0200-000007000000}">
      <text>
        <r>
          <rPr>
            <sz val="8"/>
            <color indexed="81"/>
            <rFont val="Tahoma"/>
            <family val="2"/>
          </rPr>
          <t>The number in red is what the spreadsheet is using. If you do not insert a typical error, the number shown is the standard error of the estimate derived from the trend line, which is a good estimate of the typical error (the "detrended" error). But you need at least 10 points in the trend line to get a reasonable estimate.
If you see 0, you have inserted a percent typical error. You must therefore also choose at least one reference score or scores for a trendline, so the spreadsheet can convert the percent error to a raw error.
If you see #####, either insert a typical error in E13 or E14, or choose scores for a trendline.
The typical error is the standard error of measurement, which is the typical variation in repeated measurements, or the standard deviation of an individual's scores when there is no trend in the measurements. It can be derived from a short-term reliability study. 
You can also insert a value obtained by combining standard errors of the estimate from several athletes by squaring them, averaging the square, and taking the square root. To be more accurate, weight the squares by their degrees of freedom (number of points in their trend lines minus 2). The degrees of freedom of the mean is the sum of the degrees of freedom.
If the test scores are counts and proportions of counts (e.g., most performance indicators from the analysis of players' actions in games), the typical error depends on the individual's mean count or proportion, but the estimate of typical error from a reliability study will be an average across all the subjects in the study. It is possible to estimate approximate typical errors for the counts and proportions of the individual by assuming they have Poisson and binomial sampling distributions respectively, but now there is a potential problem of non-randomness of the counts, which produces a larger typical error ("overdispersion"). I therefore recommend letting the spreadsheet use the typical error of the estimate from the trend analysis.</t>
        </r>
      </text>
    </comment>
    <comment ref="C14" authorId="0" shapeId="0" xr:uid="{00000000-0006-0000-0200-000008000000}">
      <text>
        <r>
          <rPr>
            <sz val="9"/>
            <color indexed="81"/>
            <rFont val="Tahoma"/>
            <family val="2"/>
          </rPr>
          <t xml:space="preserve">If you do not provide a value for the typical error, the value shown is the typical error expressed as a percent of the mean of the chosen scores for the trendline or the reference score(s). 
If you see #####, you must choose reference score(s) or scores for the trendline. </t>
        </r>
      </text>
    </comment>
    <comment ref="C15" authorId="1" shapeId="0" xr:uid="{00000000-0006-0000-0200-000009000000}">
      <text>
        <r>
          <rPr>
            <sz val="8"/>
            <color indexed="81"/>
            <rFont val="Tahoma"/>
            <family val="2"/>
          </rPr>
          <t>Usually one less than the number of change scores in the reliability study used to estimate the typical error. The number does not need to be exact. Any number &gt;20 is effectively infinite and makes no real difference to the calculations.
Clear the blue number to use the typical error of the estimate from the trend analysis as the typical error.
If the test score is a count or proportion, and you are using theoretical Poisson or binomial errors, insert 999 (because test scores are assumed to have normal rather than t sampling distributions). Otherwise clear this cell to analyze the inferences for changes using the typical error of the estimate for such data (which is more realistic than using the value of the typical error derived from the observed scores).</t>
        </r>
      </text>
    </comment>
    <comment ref="D16" authorId="1" shapeId="0" xr:uid="{00000000-0006-0000-0200-00000A000000}">
      <text>
        <r>
          <rPr>
            <sz val="8"/>
            <color indexed="81"/>
            <rFont val="Tahoma"/>
            <family val="2"/>
          </rPr>
          <t xml:space="preserve">This is the smallest important change over a short term. It must be a positive value, regardless of whether a positive value is beneficial or harmful.
If the individual is a top athlete competing for a medal, it's the change in the performance measure associated with one extra medal every 10 competitions, which amounts to 0.3 of the variability that individual top athletes show from one competition to the next. You have to be very careful about translating this change in the competition measure of performance (usually time or distance) into a change in the performance test (usually power output).
For all other individuals, it's the change associated with the smallest important change in a health or injury risk factor.  If you do not have such information, use "standardization": 0.2 of the </t>
        </r>
        <r>
          <rPr>
            <b/>
            <sz val="8"/>
            <color indexed="81"/>
            <rFont val="Tahoma"/>
            <family val="2"/>
          </rPr>
          <t>between</t>
        </r>
        <r>
          <rPr>
            <sz val="8"/>
            <color indexed="81"/>
            <rFont val="Tahoma"/>
            <family val="2"/>
          </rPr>
          <t xml:space="preserve">-subject standard deviation in the population in which your individual belongs.  Standardization is particularly appropriate for tests and performance indicators of team-sport athletes.
With some measures, there is no quantified association with a performance, health or injury outcome, but a between-subject standard deviation is hard to define, usually because the measure is highly variable and there are substantial differences between individuals in the variability itself (e.g., some measures of heart rate derived from heart-rate variability). However, you may still be interested in assessing changes that are "unusual" for an individual: changes that are unlikely to be due simply to the variability (typical error, or error of measurement).  For such measures, decide on what you mean by </t>
        </r>
        <r>
          <rPr>
            <i/>
            <sz val="8"/>
            <color indexed="81"/>
            <rFont val="Tahoma"/>
            <family val="2"/>
          </rPr>
          <t>unusual</t>
        </r>
        <r>
          <rPr>
            <sz val="8"/>
            <color indexed="81"/>
            <rFont val="Tahoma"/>
            <family val="2"/>
          </rPr>
          <t xml:space="preserve"> with the definition of </t>
        </r>
        <r>
          <rPr>
            <i/>
            <sz val="8"/>
            <color indexed="81"/>
            <rFont val="Tahoma"/>
            <family val="2"/>
          </rPr>
          <t>very likely</t>
        </r>
        <r>
          <rPr>
            <sz val="8"/>
            <color indexed="81"/>
            <rFont val="Tahoma"/>
            <family val="2"/>
          </rPr>
          <t xml:space="preserve"> in Cell E4.  Cell E6 then defines </t>
        </r>
        <r>
          <rPr>
            <i/>
            <sz val="8"/>
            <color indexed="81"/>
            <rFont val="Tahoma"/>
            <family val="2"/>
          </rPr>
          <t>very unusual</t>
        </r>
        <r>
          <rPr>
            <sz val="8"/>
            <color indexed="81"/>
            <rFont val="Tahoma"/>
            <family val="2"/>
          </rPr>
          <t>. The default of 10% is probably about right for most situations.  Now set the smallest important change in Cell E14 or E15 to zero (or leave both blank). The spreadsheet now shows you outcomes that are either unclear (?) or clear and very likely an increase (</t>
        </r>
        <r>
          <rPr>
            <sz val="8"/>
            <color indexed="81"/>
            <rFont val="Symbol"/>
            <family val="1"/>
            <charset val="2"/>
          </rPr>
          <t>­*</t>
        </r>
        <r>
          <rPr>
            <sz val="8"/>
            <color indexed="81"/>
            <rFont val="Tahoma"/>
            <family val="2"/>
          </rPr>
          <t>) or very likely a decrease (</t>
        </r>
        <r>
          <rPr>
            <sz val="8"/>
            <color indexed="81"/>
            <rFont val="Symbol"/>
            <family val="1"/>
            <charset val="2"/>
          </rPr>
          <t>¯*</t>
        </r>
        <r>
          <rPr>
            <sz val="8"/>
            <color indexed="81"/>
            <rFont val="Tahoma"/>
            <family val="2"/>
          </rPr>
          <t>). These clear changes are the changes that are very unlikely to be due to chance, but keep in mind that, if the real change is zero, you will see clear increases 10% of the time and clear decreases 10% of the time.</t>
        </r>
      </text>
    </comment>
    <comment ref="D18" authorId="1" shapeId="0" xr:uid="{00000000-0006-0000-0200-00000B000000}">
      <text>
        <r>
          <rPr>
            <sz val="8"/>
            <color indexed="81"/>
            <rFont val="Tahoma"/>
            <family val="2"/>
          </rPr>
          <t>Insert a minimum target change (+ive or -ive) that the individual wants or needs to show over an extended period (e.g., 10 weeks, a season, or a year). Insert the period in the same units as the time of the test scores (days, if you insert the dates of the test scores).</t>
        </r>
      </text>
    </comment>
    <comment ref="E22" authorId="1" shapeId="0" xr:uid="{00000000-0006-0000-0200-00000C000000}">
      <text>
        <r>
          <rPr>
            <sz val="8"/>
            <color indexed="81"/>
            <rFont val="Tahoma"/>
            <family val="2"/>
          </rPr>
          <t>Insert any numbers, including dates. For dates you will have to make the columns wider.</t>
        </r>
      </text>
    </comment>
    <comment ref="F22" authorId="1" shapeId="0" xr:uid="{00000000-0006-0000-0200-00000D000000}">
      <text>
        <r>
          <rPr>
            <sz val="8"/>
            <color indexed="81"/>
            <rFont val="Tahoma"/>
            <family val="2"/>
          </rPr>
          <t>I chose 0.1 so the point and its error bars are slightly off the Y axis.</t>
        </r>
      </text>
    </comment>
    <comment ref="E24" authorId="0" shapeId="0" xr:uid="{00000000-0006-0000-0200-00000E000000}">
      <text>
        <r>
          <rPr>
            <sz val="9"/>
            <color indexed="81"/>
            <rFont val="Tahoma"/>
            <family val="2"/>
          </rPr>
          <t>Insert any digit or letter to choose the test(s). If you choose more than one, they are averaged.</t>
        </r>
      </text>
    </comment>
    <comment ref="E25" authorId="1" shapeId="0" xr:uid="{00000000-0006-0000-0200-00000F000000}">
      <text>
        <r>
          <rPr>
            <sz val="8"/>
            <color indexed="81"/>
            <rFont val="Tahoma"/>
            <family val="2"/>
          </rPr>
          <t xml:space="preserve">Insert any digit or letter to indicate the time points and test values that are used to fit a straight-line trend. 
The number of points you need to get reasonable precision for a trend and for changes from the trend will depend on the relative magnitudes of the typical error, smallest important trend, and smallest important </t>
        </r>
        <r>
          <rPr>
            <sz val="8"/>
            <color indexed="81"/>
            <rFont val="Symbol"/>
            <family val="1"/>
            <charset val="2"/>
          </rPr>
          <t>D</t>
        </r>
        <r>
          <rPr>
            <sz val="8"/>
            <color indexed="81"/>
            <rFont val="Tahoma"/>
            <family val="2"/>
          </rPr>
          <t>.</t>
        </r>
      </text>
    </comment>
    <comment ref="E28" authorId="1" shapeId="0" xr:uid="{00000000-0006-0000-0200-000010000000}">
      <text>
        <r>
          <rPr>
            <sz val="8"/>
            <color indexed="81"/>
            <rFont val="Tahoma"/>
            <family val="2"/>
          </rPr>
          <t xml:space="preserve">The number shown is the probability (expressed in percent units) that the true value of the test score at the given time point is </t>
        </r>
        <r>
          <rPr>
            <b/>
            <sz val="8"/>
            <color indexed="81"/>
            <rFont val="Tahoma"/>
            <family val="2"/>
          </rPr>
          <t xml:space="preserve">substantially greater </t>
        </r>
        <r>
          <rPr>
            <sz val="8"/>
            <color indexed="81"/>
            <rFont val="Tahoma"/>
            <family val="2"/>
          </rPr>
          <t>than the reference value.</t>
        </r>
      </text>
    </comment>
    <comment ref="E29" authorId="1" shapeId="0" xr:uid="{00000000-0006-0000-0200-000011000000}">
      <text>
        <r>
          <rPr>
            <sz val="8"/>
            <color indexed="81"/>
            <rFont val="Tahoma"/>
            <family val="2"/>
          </rPr>
          <t xml:space="preserve">The number shown is the probability (expressed in percent units) that the true value of the test score at the given time point is </t>
        </r>
        <r>
          <rPr>
            <b/>
            <sz val="8"/>
            <color indexed="81"/>
            <rFont val="Tahoma"/>
            <family val="2"/>
          </rPr>
          <t>not substantially different</t>
        </r>
        <r>
          <rPr>
            <sz val="8"/>
            <color indexed="81"/>
            <rFont val="Tahoma"/>
            <family val="2"/>
          </rPr>
          <t xml:space="preserve"> from the reference value.</t>
        </r>
      </text>
    </comment>
    <comment ref="E30" authorId="1" shapeId="0" xr:uid="{00000000-0006-0000-0200-000012000000}">
      <text>
        <r>
          <rPr>
            <sz val="8"/>
            <color indexed="81"/>
            <rFont val="Tahoma"/>
            <family val="2"/>
          </rPr>
          <t xml:space="preserve">The number shown is the probability (expressed in percent units) that the true value of the test score at the given time point is </t>
        </r>
        <r>
          <rPr>
            <b/>
            <sz val="8"/>
            <color indexed="81"/>
            <rFont val="Tahoma"/>
            <family val="2"/>
          </rPr>
          <t>substantially less</t>
        </r>
        <r>
          <rPr>
            <sz val="8"/>
            <color indexed="81"/>
            <rFont val="Tahoma"/>
            <family val="2"/>
          </rPr>
          <t xml:space="preserve"> than the reference value.</t>
        </r>
      </text>
    </comment>
    <comment ref="E31" authorId="1" shapeId="0" xr:uid="{00000000-0006-0000-0200-000013000000}">
      <text>
        <r>
          <rPr>
            <sz val="8"/>
            <color indexed="81"/>
            <rFont val="Tahoma"/>
            <family val="2"/>
          </rPr>
          <t xml:space="preserve">Changes that are </t>
        </r>
        <r>
          <rPr>
            <b/>
            <sz val="8"/>
            <color indexed="81"/>
            <rFont val="Tahoma"/>
            <family val="2"/>
          </rPr>
          <t>unclear—</t>
        </r>
        <r>
          <rPr>
            <sz val="8"/>
            <color indexed="81"/>
            <rFont val="Tahoma"/>
            <family val="2"/>
          </rPr>
          <t xml:space="preserve">that is, the chances indicate that the true change could be a substantial increase and a substantial decrease—are indicated with </t>
        </r>
        <r>
          <rPr>
            <b/>
            <sz val="8"/>
            <color indexed="81"/>
            <rFont val="Tahoma"/>
            <family val="2"/>
          </rPr>
          <t>?</t>
        </r>
        <r>
          <rPr>
            <sz val="8"/>
            <color indexed="81"/>
            <rFont val="Tahoma"/>
            <family val="2"/>
          </rPr>
          <t xml:space="preserve"> (equivalent to </t>
        </r>
        <r>
          <rPr>
            <b/>
            <sz val="8"/>
            <color indexed="81"/>
            <rFont val="Symbol"/>
            <family val="1"/>
            <charset val="2"/>
          </rPr>
          <t>­¯</t>
        </r>
        <r>
          <rPr>
            <sz val="8"/>
            <color indexed="81"/>
            <rFont val="Tahoma"/>
            <family val="2"/>
          </rPr>
          <t xml:space="preserve">).
Changes are otherwise indicated with </t>
        </r>
        <r>
          <rPr>
            <b/>
            <sz val="8"/>
            <color indexed="81"/>
            <rFont val="Symbol"/>
            <family val="1"/>
            <charset val="2"/>
          </rPr>
          <t xml:space="preserve">« </t>
        </r>
        <r>
          <rPr>
            <sz val="8"/>
            <color indexed="81"/>
            <rFont val="Tahoma"/>
            <family val="2"/>
          </rPr>
          <t xml:space="preserve">and/or </t>
        </r>
        <r>
          <rPr>
            <b/>
            <sz val="8"/>
            <color indexed="81"/>
            <rFont val="Symbol"/>
            <family val="1"/>
            <charset val="2"/>
          </rPr>
          <t>­</t>
        </r>
        <r>
          <rPr>
            <sz val="8"/>
            <color indexed="81"/>
            <rFont val="Symbol"/>
            <family val="1"/>
            <charset val="2"/>
          </rPr>
          <t xml:space="preserve"> </t>
        </r>
        <r>
          <rPr>
            <sz val="8"/>
            <color indexed="81"/>
            <rFont val="Tahoma"/>
            <family val="2"/>
          </rPr>
          <t>and/or</t>
        </r>
        <r>
          <rPr>
            <sz val="8"/>
            <color indexed="81"/>
            <rFont val="Symbol"/>
            <family val="1"/>
            <charset val="2"/>
          </rPr>
          <t xml:space="preserve"> </t>
        </r>
        <r>
          <rPr>
            <b/>
            <sz val="8"/>
            <color indexed="81"/>
            <rFont val="Symbol"/>
            <family val="1"/>
            <charset val="2"/>
          </rPr>
          <t>¯</t>
        </r>
        <r>
          <rPr>
            <sz val="8"/>
            <color indexed="81"/>
            <rFont val="Tahoma"/>
            <family val="2"/>
          </rPr>
          <t xml:space="preserve"> to show that they could be trivial and/or a substantial increase and/or a substantial decrease.
Changes that are </t>
        </r>
        <r>
          <rPr>
            <i/>
            <sz val="8"/>
            <color indexed="81"/>
            <rFont val="Tahoma"/>
            <family val="2"/>
          </rPr>
          <t>very likely</t>
        </r>
        <r>
          <rPr>
            <sz val="8"/>
            <color indexed="81"/>
            <rFont val="Tahoma"/>
            <family val="2"/>
          </rPr>
          <t xml:space="preserve"> trivial or substantial are indicated with an asterisk (</t>
        </r>
        <r>
          <rPr>
            <sz val="8"/>
            <color indexed="81"/>
            <rFont val="Symbol"/>
            <family val="1"/>
            <charset val="2"/>
          </rPr>
          <t>*</t>
        </r>
        <r>
          <rPr>
            <sz val="8"/>
            <color indexed="81"/>
            <rFont val="Tahoma"/>
            <family val="2"/>
          </rPr>
          <t>).</t>
        </r>
      </text>
    </comment>
    <comment ref="E34" authorId="1" shapeId="0" xr:uid="{00000000-0006-0000-0200-000014000000}">
      <text>
        <r>
          <rPr>
            <sz val="8"/>
            <color indexed="81"/>
            <rFont val="Tahoma"/>
            <family val="2"/>
          </rPr>
          <t xml:space="preserve">The number shown is the probability (expressed in percent units) that the true value of the test score at the given time point is </t>
        </r>
        <r>
          <rPr>
            <b/>
            <sz val="8"/>
            <color indexed="81"/>
            <rFont val="Tahoma"/>
            <family val="2"/>
          </rPr>
          <t xml:space="preserve">substantially greater </t>
        </r>
        <r>
          <rPr>
            <sz val="8"/>
            <color indexed="81"/>
            <rFont val="Tahoma"/>
            <family val="2"/>
          </rPr>
          <t>than the previous value.</t>
        </r>
      </text>
    </comment>
    <comment ref="E35" authorId="1" shapeId="0" xr:uid="{00000000-0006-0000-0200-000015000000}">
      <text>
        <r>
          <rPr>
            <sz val="8"/>
            <color indexed="81"/>
            <rFont val="Tahoma"/>
            <family val="2"/>
          </rPr>
          <t xml:space="preserve">The number shown is the probability (expressed in percent units) that the true value of the test score at the given time point is </t>
        </r>
        <r>
          <rPr>
            <b/>
            <sz val="8"/>
            <color indexed="81"/>
            <rFont val="Tahoma"/>
            <family val="2"/>
          </rPr>
          <t>not substantially different</t>
        </r>
        <r>
          <rPr>
            <sz val="8"/>
            <color indexed="81"/>
            <rFont val="Tahoma"/>
            <family val="2"/>
          </rPr>
          <t xml:space="preserve"> from the previous value.</t>
        </r>
      </text>
    </comment>
    <comment ref="E36" authorId="1" shapeId="0" xr:uid="{00000000-0006-0000-0200-000016000000}">
      <text>
        <r>
          <rPr>
            <sz val="8"/>
            <color indexed="81"/>
            <rFont val="Tahoma"/>
            <family val="2"/>
          </rPr>
          <t xml:space="preserve">The number shown is the probability (expressed in percent units) that the true value of the test score at the given time point is </t>
        </r>
        <r>
          <rPr>
            <b/>
            <sz val="8"/>
            <color indexed="81"/>
            <rFont val="Tahoma"/>
            <family val="2"/>
          </rPr>
          <t>substantially less</t>
        </r>
        <r>
          <rPr>
            <sz val="8"/>
            <color indexed="81"/>
            <rFont val="Tahoma"/>
            <family val="2"/>
          </rPr>
          <t xml:space="preserve"> than the previous value.</t>
        </r>
      </text>
    </comment>
    <comment ref="E37" authorId="1" shapeId="0" xr:uid="{00000000-0006-0000-0200-000017000000}">
      <text>
        <r>
          <rPr>
            <sz val="8"/>
            <color indexed="81"/>
            <rFont val="Tahoma"/>
            <family val="2"/>
          </rPr>
          <t xml:space="preserve">Changes that are </t>
        </r>
        <r>
          <rPr>
            <b/>
            <sz val="8"/>
            <color indexed="81"/>
            <rFont val="Tahoma"/>
            <family val="2"/>
          </rPr>
          <t>unclear—</t>
        </r>
        <r>
          <rPr>
            <sz val="8"/>
            <color indexed="81"/>
            <rFont val="Tahoma"/>
            <family val="2"/>
          </rPr>
          <t xml:space="preserve">that is, the chances indicate that the true change could be a substantial increase and a substantial decrease—are indicated with </t>
        </r>
        <r>
          <rPr>
            <b/>
            <sz val="8"/>
            <color indexed="81"/>
            <rFont val="Tahoma"/>
            <family val="2"/>
          </rPr>
          <t>?</t>
        </r>
        <r>
          <rPr>
            <sz val="8"/>
            <color indexed="81"/>
            <rFont val="Tahoma"/>
            <family val="2"/>
          </rPr>
          <t xml:space="preserve"> (equivalent to </t>
        </r>
        <r>
          <rPr>
            <b/>
            <sz val="8"/>
            <color indexed="81"/>
            <rFont val="Symbol"/>
            <family val="1"/>
            <charset val="2"/>
          </rPr>
          <t>­¯</t>
        </r>
        <r>
          <rPr>
            <sz val="8"/>
            <color indexed="81"/>
            <rFont val="Tahoma"/>
            <family val="2"/>
          </rPr>
          <t xml:space="preserve">).
Changes are otherwise indicated with </t>
        </r>
        <r>
          <rPr>
            <b/>
            <sz val="8"/>
            <color indexed="81"/>
            <rFont val="Symbol"/>
            <family val="1"/>
            <charset val="2"/>
          </rPr>
          <t xml:space="preserve">« </t>
        </r>
        <r>
          <rPr>
            <sz val="8"/>
            <color indexed="81"/>
            <rFont val="Tahoma"/>
            <family val="2"/>
          </rPr>
          <t xml:space="preserve">and/or </t>
        </r>
        <r>
          <rPr>
            <b/>
            <sz val="8"/>
            <color indexed="81"/>
            <rFont val="Symbol"/>
            <family val="1"/>
            <charset val="2"/>
          </rPr>
          <t>­</t>
        </r>
        <r>
          <rPr>
            <sz val="8"/>
            <color indexed="81"/>
            <rFont val="Symbol"/>
            <family val="1"/>
            <charset val="2"/>
          </rPr>
          <t xml:space="preserve"> </t>
        </r>
        <r>
          <rPr>
            <sz val="8"/>
            <color indexed="81"/>
            <rFont val="Tahoma"/>
            <family val="2"/>
          </rPr>
          <t>and/or</t>
        </r>
        <r>
          <rPr>
            <sz val="8"/>
            <color indexed="81"/>
            <rFont val="Symbol"/>
            <family val="1"/>
            <charset val="2"/>
          </rPr>
          <t xml:space="preserve"> </t>
        </r>
        <r>
          <rPr>
            <b/>
            <sz val="8"/>
            <color indexed="81"/>
            <rFont val="Symbol"/>
            <family val="1"/>
            <charset val="2"/>
          </rPr>
          <t>¯</t>
        </r>
        <r>
          <rPr>
            <sz val="8"/>
            <color indexed="81"/>
            <rFont val="Tahoma"/>
            <family val="2"/>
          </rPr>
          <t xml:space="preserve"> to show that they could be trivial and/or a substantial increase and/or a substantial decrease.
Changes that are </t>
        </r>
        <r>
          <rPr>
            <i/>
            <sz val="8"/>
            <color indexed="81"/>
            <rFont val="Tahoma"/>
            <family val="2"/>
          </rPr>
          <t>very likely</t>
        </r>
        <r>
          <rPr>
            <sz val="8"/>
            <color indexed="81"/>
            <rFont val="Tahoma"/>
            <family val="2"/>
          </rPr>
          <t xml:space="preserve"> trivial or substantial are indicated with an asterisk (</t>
        </r>
        <r>
          <rPr>
            <sz val="8"/>
            <color indexed="81"/>
            <rFont val="Symbol"/>
            <family val="1"/>
            <charset val="2"/>
          </rPr>
          <t>*</t>
        </r>
        <r>
          <rPr>
            <sz val="8"/>
            <color indexed="81"/>
            <rFont val="Tahoma"/>
            <family val="2"/>
          </rPr>
          <t>).</t>
        </r>
      </text>
    </comment>
    <comment ref="E38" authorId="1" shapeId="0" xr:uid="{00000000-0006-0000-0200-000018000000}">
      <text>
        <r>
          <rPr>
            <sz val="8"/>
            <color indexed="81"/>
            <rFont val="Tahoma"/>
            <family val="2"/>
          </rPr>
          <t xml:space="preserve">The number shown is the probability (expressed in percent units) that the true value of the test score at the given time point is </t>
        </r>
        <r>
          <rPr>
            <b/>
            <sz val="8"/>
            <color indexed="81"/>
            <rFont val="Tahoma"/>
            <family val="2"/>
          </rPr>
          <t xml:space="preserve">substantially greater </t>
        </r>
        <r>
          <rPr>
            <sz val="8"/>
            <color indexed="81"/>
            <rFont val="Tahoma"/>
            <family val="2"/>
          </rPr>
          <t>than the value predicted by the linear trend.</t>
        </r>
      </text>
    </comment>
    <comment ref="E39" authorId="1" shapeId="0" xr:uid="{00000000-0006-0000-0200-000019000000}">
      <text>
        <r>
          <rPr>
            <sz val="8"/>
            <color indexed="81"/>
            <rFont val="Tahoma"/>
            <family val="2"/>
          </rPr>
          <t xml:space="preserve">The number shown is the probability (expressed in percent units) that the true value of the test score at the given time point is </t>
        </r>
        <r>
          <rPr>
            <b/>
            <sz val="8"/>
            <color indexed="81"/>
            <rFont val="Tahoma"/>
            <family val="2"/>
          </rPr>
          <t>not substantially different</t>
        </r>
        <r>
          <rPr>
            <sz val="8"/>
            <color indexed="81"/>
            <rFont val="Tahoma"/>
            <family val="2"/>
          </rPr>
          <t xml:space="preserve"> from the value predicted by the linear trend.</t>
        </r>
      </text>
    </comment>
    <comment ref="E40" authorId="1" shapeId="0" xr:uid="{00000000-0006-0000-0200-00001A000000}">
      <text>
        <r>
          <rPr>
            <sz val="8"/>
            <color indexed="81"/>
            <rFont val="Tahoma"/>
            <family val="2"/>
          </rPr>
          <t xml:space="preserve">The number shown is the probability (expressed in percent units) that the true value of the test score at the given time point is </t>
        </r>
        <r>
          <rPr>
            <b/>
            <sz val="8"/>
            <color indexed="81"/>
            <rFont val="Tahoma"/>
            <family val="2"/>
          </rPr>
          <t>substantially less</t>
        </r>
        <r>
          <rPr>
            <sz val="8"/>
            <color indexed="81"/>
            <rFont val="Tahoma"/>
            <family val="2"/>
          </rPr>
          <t xml:space="preserve"> than the value predicted by the linear trend.</t>
        </r>
      </text>
    </comment>
    <comment ref="E41" authorId="1" shapeId="0" xr:uid="{00000000-0006-0000-0200-00001B000000}">
      <text>
        <r>
          <rPr>
            <sz val="8"/>
            <color indexed="81"/>
            <rFont val="Tahoma"/>
            <family val="2"/>
          </rPr>
          <t xml:space="preserve">Changes that are </t>
        </r>
        <r>
          <rPr>
            <b/>
            <sz val="8"/>
            <color indexed="81"/>
            <rFont val="Tahoma"/>
            <family val="2"/>
          </rPr>
          <t>unclear—</t>
        </r>
        <r>
          <rPr>
            <sz val="8"/>
            <color indexed="81"/>
            <rFont val="Tahoma"/>
            <family val="2"/>
          </rPr>
          <t xml:space="preserve">that is, the chances indicate that the true change could be a substantial increase and a substantial decrease—are indicated with </t>
        </r>
        <r>
          <rPr>
            <b/>
            <sz val="8"/>
            <color indexed="81"/>
            <rFont val="Tahoma"/>
            <family val="2"/>
          </rPr>
          <t>?</t>
        </r>
        <r>
          <rPr>
            <sz val="8"/>
            <color indexed="81"/>
            <rFont val="Tahoma"/>
            <family val="2"/>
          </rPr>
          <t xml:space="preserve"> (equivalent to </t>
        </r>
        <r>
          <rPr>
            <b/>
            <sz val="8"/>
            <color indexed="81"/>
            <rFont val="Symbol"/>
            <family val="1"/>
            <charset val="2"/>
          </rPr>
          <t>­¯</t>
        </r>
        <r>
          <rPr>
            <sz val="8"/>
            <color indexed="81"/>
            <rFont val="Tahoma"/>
            <family val="2"/>
          </rPr>
          <t xml:space="preserve">).
Changes are otherwise indicated with </t>
        </r>
        <r>
          <rPr>
            <b/>
            <sz val="8"/>
            <color indexed="81"/>
            <rFont val="Symbol"/>
            <family val="1"/>
            <charset val="2"/>
          </rPr>
          <t xml:space="preserve">« </t>
        </r>
        <r>
          <rPr>
            <sz val="8"/>
            <color indexed="81"/>
            <rFont val="Tahoma"/>
            <family val="2"/>
          </rPr>
          <t xml:space="preserve">and/or </t>
        </r>
        <r>
          <rPr>
            <b/>
            <sz val="8"/>
            <color indexed="81"/>
            <rFont val="Symbol"/>
            <family val="1"/>
            <charset val="2"/>
          </rPr>
          <t>­</t>
        </r>
        <r>
          <rPr>
            <sz val="8"/>
            <color indexed="81"/>
            <rFont val="Symbol"/>
            <family val="1"/>
            <charset val="2"/>
          </rPr>
          <t xml:space="preserve"> </t>
        </r>
        <r>
          <rPr>
            <sz val="8"/>
            <color indexed="81"/>
            <rFont val="Tahoma"/>
            <family val="2"/>
          </rPr>
          <t>and/or</t>
        </r>
        <r>
          <rPr>
            <sz val="8"/>
            <color indexed="81"/>
            <rFont val="Symbol"/>
            <family val="1"/>
            <charset val="2"/>
          </rPr>
          <t xml:space="preserve"> </t>
        </r>
        <r>
          <rPr>
            <b/>
            <sz val="8"/>
            <color indexed="81"/>
            <rFont val="Symbol"/>
            <family val="1"/>
            <charset val="2"/>
          </rPr>
          <t>¯</t>
        </r>
        <r>
          <rPr>
            <sz val="8"/>
            <color indexed="81"/>
            <rFont val="Tahoma"/>
            <family val="2"/>
          </rPr>
          <t xml:space="preserve"> to show that they could be trivial and/or a substantial increase and/or a substantial decrease.
Changes that are </t>
        </r>
        <r>
          <rPr>
            <i/>
            <sz val="8"/>
            <color indexed="81"/>
            <rFont val="Tahoma"/>
            <family val="2"/>
          </rPr>
          <t>very likely</t>
        </r>
        <r>
          <rPr>
            <sz val="8"/>
            <color indexed="81"/>
            <rFont val="Tahoma"/>
            <family val="2"/>
          </rPr>
          <t xml:space="preserve"> trivial or substantial are indicated with an asterisk (</t>
        </r>
        <r>
          <rPr>
            <sz val="8"/>
            <color indexed="81"/>
            <rFont val="Symbol"/>
            <family val="1"/>
            <charset val="2"/>
          </rPr>
          <t>*</t>
        </r>
        <r>
          <rPr>
            <sz val="8"/>
            <color indexed="81"/>
            <rFont val="Tahoma"/>
            <family val="2"/>
          </rPr>
          <t>).</t>
        </r>
      </text>
    </comment>
    <comment ref="E42" authorId="1" shapeId="0" xr:uid="{00000000-0006-0000-0200-00001C000000}">
      <text>
        <r>
          <rPr>
            <sz val="8"/>
            <color indexed="81"/>
            <rFont val="Tahoma"/>
            <family val="2"/>
          </rPr>
          <t>Insert any digit or letter at contiguous time points beyond the regression line.  Any points contributing to the regresson line are ignored.</t>
        </r>
      </text>
    </comment>
    <comment ref="C43" authorId="1" shapeId="0" xr:uid="{00000000-0006-0000-0200-00001D000000}">
      <text>
        <r>
          <rPr>
            <sz val="8"/>
            <color indexed="81"/>
            <rFont val="Tahoma"/>
            <family val="2"/>
          </rPr>
          <t>The same average is shown for each time point only because it is difficult to show only one average.</t>
        </r>
      </text>
    </comment>
    <comment ref="E43" authorId="1" shapeId="0" xr:uid="{00000000-0006-0000-0200-00001E000000}">
      <text>
        <r>
          <rPr>
            <sz val="8"/>
            <color indexed="81"/>
            <rFont val="Tahoma"/>
            <family val="2"/>
          </rPr>
          <t xml:space="preserve">The number shown is the probability (expressed in percent units) that the true value of the test score at the given time point is </t>
        </r>
        <r>
          <rPr>
            <b/>
            <sz val="8"/>
            <color indexed="81"/>
            <rFont val="Tahoma"/>
            <family val="2"/>
          </rPr>
          <t xml:space="preserve">substantially greater </t>
        </r>
        <r>
          <rPr>
            <sz val="8"/>
            <color indexed="81"/>
            <rFont val="Tahoma"/>
            <family val="2"/>
          </rPr>
          <t>than the value predicted by the linear trend.</t>
        </r>
      </text>
    </comment>
    <comment ref="E44" authorId="1" shapeId="0" xr:uid="{00000000-0006-0000-0200-00001F000000}">
      <text>
        <r>
          <rPr>
            <sz val="8"/>
            <color indexed="81"/>
            <rFont val="Tahoma"/>
            <family val="2"/>
          </rPr>
          <t xml:space="preserve">The number shown is the probability (expressed in percent units) that the true value of the test score at the given time point is </t>
        </r>
        <r>
          <rPr>
            <b/>
            <sz val="8"/>
            <color indexed="81"/>
            <rFont val="Tahoma"/>
            <family val="2"/>
          </rPr>
          <t>not substantially different</t>
        </r>
        <r>
          <rPr>
            <sz val="8"/>
            <color indexed="81"/>
            <rFont val="Tahoma"/>
            <family val="2"/>
          </rPr>
          <t xml:space="preserve"> from the value predicted by the linear trend.</t>
        </r>
      </text>
    </comment>
    <comment ref="E45" authorId="1" shapeId="0" xr:uid="{00000000-0006-0000-0200-000020000000}">
      <text>
        <r>
          <rPr>
            <sz val="8"/>
            <color indexed="81"/>
            <rFont val="Tahoma"/>
            <family val="2"/>
          </rPr>
          <t xml:space="preserve">The number shown is the probability (expressed in percent units) that the true value of the test score at the given time point is </t>
        </r>
        <r>
          <rPr>
            <b/>
            <sz val="8"/>
            <color indexed="81"/>
            <rFont val="Tahoma"/>
            <family val="2"/>
          </rPr>
          <t>substantially less</t>
        </r>
        <r>
          <rPr>
            <sz val="8"/>
            <color indexed="81"/>
            <rFont val="Tahoma"/>
            <family val="2"/>
          </rPr>
          <t xml:space="preserve"> than the value predicted by the linear trend.</t>
        </r>
      </text>
    </comment>
    <comment ref="E46" authorId="1" shapeId="0" xr:uid="{00000000-0006-0000-0200-000021000000}">
      <text>
        <r>
          <rPr>
            <sz val="8"/>
            <color indexed="81"/>
            <rFont val="Tahoma"/>
            <family val="2"/>
          </rPr>
          <t xml:space="preserve">Changes that are </t>
        </r>
        <r>
          <rPr>
            <b/>
            <sz val="8"/>
            <color indexed="81"/>
            <rFont val="Tahoma"/>
            <family val="2"/>
          </rPr>
          <t>unclear—</t>
        </r>
        <r>
          <rPr>
            <sz val="8"/>
            <color indexed="81"/>
            <rFont val="Tahoma"/>
            <family val="2"/>
          </rPr>
          <t xml:space="preserve">that is, the chances indicate that the true change could be a substantial increase and a substantial decrease—are indicated with </t>
        </r>
        <r>
          <rPr>
            <b/>
            <sz val="8"/>
            <color indexed="81"/>
            <rFont val="Tahoma"/>
            <family val="2"/>
          </rPr>
          <t>?</t>
        </r>
        <r>
          <rPr>
            <sz val="8"/>
            <color indexed="81"/>
            <rFont val="Tahoma"/>
            <family val="2"/>
          </rPr>
          <t xml:space="preserve"> (equivalent to </t>
        </r>
        <r>
          <rPr>
            <b/>
            <sz val="8"/>
            <color indexed="81"/>
            <rFont val="Symbol"/>
            <family val="1"/>
            <charset val="2"/>
          </rPr>
          <t>­¯</t>
        </r>
        <r>
          <rPr>
            <sz val="8"/>
            <color indexed="81"/>
            <rFont val="Tahoma"/>
            <family val="2"/>
          </rPr>
          <t xml:space="preserve">).
Changes are otherwise indicated with </t>
        </r>
        <r>
          <rPr>
            <b/>
            <sz val="8"/>
            <color indexed="81"/>
            <rFont val="Symbol"/>
            <family val="1"/>
            <charset val="2"/>
          </rPr>
          <t xml:space="preserve">« </t>
        </r>
        <r>
          <rPr>
            <sz val="8"/>
            <color indexed="81"/>
            <rFont val="Tahoma"/>
            <family val="2"/>
          </rPr>
          <t xml:space="preserve">and/or </t>
        </r>
        <r>
          <rPr>
            <b/>
            <sz val="8"/>
            <color indexed="81"/>
            <rFont val="Symbol"/>
            <family val="1"/>
            <charset val="2"/>
          </rPr>
          <t>­</t>
        </r>
        <r>
          <rPr>
            <sz val="8"/>
            <color indexed="81"/>
            <rFont val="Symbol"/>
            <family val="1"/>
            <charset val="2"/>
          </rPr>
          <t xml:space="preserve"> </t>
        </r>
        <r>
          <rPr>
            <sz val="8"/>
            <color indexed="81"/>
            <rFont val="Tahoma"/>
            <family val="2"/>
          </rPr>
          <t>and/or</t>
        </r>
        <r>
          <rPr>
            <sz val="8"/>
            <color indexed="81"/>
            <rFont val="Symbol"/>
            <family val="1"/>
            <charset val="2"/>
          </rPr>
          <t xml:space="preserve"> </t>
        </r>
        <r>
          <rPr>
            <b/>
            <sz val="8"/>
            <color indexed="81"/>
            <rFont val="Symbol"/>
            <family val="1"/>
            <charset val="2"/>
          </rPr>
          <t>¯</t>
        </r>
        <r>
          <rPr>
            <sz val="8"/>
            <color indexed="81"/>
            <rFont val="Tahoma"/>
            <family val="2"/>
          </rPr>
          <t xml:space="preserve"> to show that they could be trivial and/or a substantial increase and/or a substantial decrease.
Changes that are </t>
        </r>
        <r>
          <rPr>
            <i/>
            <sz val="8"/>
            <color indexed="81"/>
            <rFont val="Tahoma"/>
            <family val="2"/>
          </rPr>
          <t>very likely</t>
        </r>
        <r>
          <rPr>
            <sz val="8"/>
            <color indexed="81"/>
            <rFont val="Tahoma"/>
            <family val="2"/>
          </rPr>
          <t xml:space="preserve"> trivial or substantial are indicated with an asterisk (</t>
        </r>
        <r>
          <rPr>
            <sz val="8"/>
            <color indexed="81"/>
            <rFont val="Symbol"/>
            <family val="1"/>
            <charset val="2"/>
          </rPr>
          <t>*</t>
        </r>
        <r>
          <rPr>
            <sz val="8"/>
            <color indexed="81"/>
            <rFont val="Tahoma"/>
            <family val="2"/>
          </rPr>
          <t>).</t>
        </r>
      </text>
    </comment>
    <comment ref="D49" authorId="1" shapeId="0" xr:uid="{00000000-0006-0000-0200-000022000000}">
      <text>
        <r>
          <rPr>
            <sz val="8"/>
            <color indexed="81"/>
            <rFont val="Tahoma"/>
            <family val="2"/>
          </rPr>
          <t xml:space="preserve">The number shown is the probability (expressed in percent units) that the true value of the trend is </t>
        </r>
        <r>
          <rPr>
            <b/>
            <sz val="8"/>
            <color indexed="81"/>
            <rFont val="Tahoma"/>
            <family val="2"/>
          </rPr>
          <t>more positive than the target trend expressed as a positive value</t>
        </r>
        <r>
          <rPr>
            <sz val="8"/>
            <color indexed="81"/>
            <rFont val="Tahoma"/>
            <family val="2"/>
          </rPr>
          <t>.</t>
        </r>
      </text>
    </comment>
    <comment ref="D50" authorId="1" shapeId="0" xr:uid="{00000000-0006-0000-0200-000023000000}">
      <text>
        <r>
          <rPr>
            <sz val="8"/>
            <color indexed="81"/>
            <rFont val="Tahoma"/>
            <family val="2"/>
          </rPr>
          <t xml:space="preserve">The number shown is the probability (expressed in percent units) that the true value of the trend is </t>
        </r>
        <r>
          <rPr>
            <b/>
            <sz val="8"/>
            <color indexed="81"/>
            <rFont val="Tahoma"/>
            <family val="2"/>
          </rPr>
          <t>between the positive and negative values of the target trend.</t>
        </r>
      </text>
    </comment>
    <comment ref="D51" authorId="1" shapeId="0" xr:uid="{00000000-0006-0000-0200-000024000000}">
      <text>
        <r>
          <rPr>
            <sz val="8"/>
            <color indexed="81"/>
            <rFont val="Tahoma"/>
            <family val="2"/>
          </rPr>
          <t xml:space="preserve">The number shown is the probability (expressed in percent units) that the true value of the trend is </t>
        </r>
        <r>
          <rPr>
            <b/>
            <sz val="8"/>
            <color indexed="81"/>
            <rFont val="Tahoma"/>
            <family val="2"/>
          </rPr>
          <t>more negative than the target trend expressed as a negative value</t>
        </r>
        <r>
          <rPr>
            <sz val="8"/>
            <color indexed="81"/>
            <rFont val="Tahoma"/>
            <family val="2"/>
          </rPr>
          <t>.</t>
        </r>
      </text>
    </comment>
    <comment ref="D52" authorId="1" shapeId="0" xr:uid="{00000000-0006-0000-0200-000025000000}">
      <text>
        <r>
          <rPr>
            <sz val="8"/>
            <color indexed="81"/>
            <rFont val="Tahoma"/>
            <family val="2"/>
          </rPr>
          <t xml:space="preserve">A trend that is </t>
        </r>
        <r>
          <rPr>
            <b/>
            <sz val="8"/>
            <color indexed="81"/>
            <rFont val="Tahoma"/>
            <family val="2"/>
          </rPr>
          <t>unclear—</t>
        </r>
        <r>
          <rPr>
            <sz val="8"/>
            <color indexed="81"/>
            <rFont val="Tahoma"/>
            <family val="2"/>
          </rPr>
          <t xml:space="preserve">that is, the chances indicate that the true change "could" be more than the positive value of the target trend and less than the negative value of the target trend—is indicated with </t>
        </r>
        <r>
          <rPr>
            <b/>
            <sz val="8"/>
            <color indexed="81"/>
            <rFont val="Tahoma"/>
            <family val="2"/>
          </rPr>
          <t>?</t>
        </r>
        <r>
          <rPr>
            <sz val="8"/>
            <color indexed="81"/>
            <rFont val="Tahoma"/>
            <family val="2"/>
          </rPr>
          <t xml:space="preserve"> (equivalent to </t>
        </r>
        <r>
          <rPr>
            <b/>
            <sz val="8"/>
            <color indexed="81"/>
            <rFont val="Symbol"/>
            <family val="1"/>
            <charset val="2"/>
          </rPr>
          <t>­¯</t>
        </r>
        <r>
          <rPr>
            <sz val="8"/>
            <color indexed="81"/>
            <rFont val="Tahoma"/>
            <family val="2"/>
          </rPr>
          <t xml:space="preserve">).
The trend is otherwise indicated with </t>
        </r>
        <r>
          <rPr>
            <b/>
            <sz val="8"/>
            <color indexed="81"/>
            <rFont val="Symbol"/>
            <family val="1"/>
            <charset val="2"/>
          </rPr>
          <t>«</t>
        </r>
        <r>
          <rPr>
            <sz val="8"/>
            <color indexed="81"/>
            <rFont val="Symbol"/>
            <family val="1"/>
            <charset val="2"/>
          </rPr>
          <t xml:space="preserve">, </t>
        </r>
        <r>
          <rPr>
            <b/>
            <sz val="8"/>
            <color indexed="81"/>
            <rFont val="Symbol"/>
            <family val="1"/>
            <charset val="2"/>
          </rPr>
          <t>­</t>
        </r>
        <r>
          <rPr>
            <sz val="8"/>
            <color indexed="81"/>
            <rFont val="Symbol"/>
            <family val="1"/>
            <charset val="2"/>
          </rPr>
          <t xml:space="preserve">, </t>
        </r>
        <r>
          <rPr>
            <sz val="8"/>
            <color indexed="81"/>
            <rFont val="Tahoma"/>
            <family val="2"/>
          </rPr>
          <t>and/or</t>
        </r>
        <r>
          <rPr>
            <sz val="8"/>
            <color indexed="81"/>
            <rFont val="Symbol"/>
            <family val="1"/>
            <charset val="2"/>
          </rPr>
          <t xml:space="preserve"> </t>
        </r>
        <r>
          <rPr>
            <b/>
            <sz val="8"/>
            <color indexed="81"/>
            <rFont val="Symbol"/>
            <family val="1"/>
            <charset val="2"/>
          </rPr>
          <t>¯</t>
        </r>
        <r>
          <rPr>
            <sz val="8"/>
            <color indexed="81"/>
            <rFont val="Tahoma"/>
            <family val="2"/>
          </rPr>
          <t xml:space="preserve"> to show that it could be within the positive and negative values of the target trend, greater than the positive value, and/or less than the negative value respectively.
A trend that is </t>
        </r>
        <r>
          <rPr>
            <i/>
            <sz val="8"/>
            <color indexed="81"/>
            <rFont val="Tahoma"/>
            <family val="2"/>
          </rPr>
          <t>very likely</t>
        </r>
        <r>
          <rPr>
            <sz val="8"/>
            <color indexed="81"/>
            <rFont val="Tahoma"/>
            <family val="2"/>
          </rPr>
          <t xml:space="preserve"> is indicated with an asterisk (</t>
        </r>
        <r>
          <rPr>
            <sz val="8"/>
            <color indexed="81"/>
            <rFont val="Symbol"/>
            <family val="1"/>
            <charset val="2"/>
          </rPr>
          <t>*</t>
        </r>
        <r>
          <rPr>
            <sz val="8"/>
            <color indexed="81"/>
            <rFont val="Tahoma"/>
            <family val="2"/>
          </rPr>
          <t>).</t>
        </r>
      </text>
    </comment>
    <comment ref="D81" authorId="0" shapeId="0" xr:uid="{00000000-0006-0000-0200-000026000000}">
      <text>
        <r>
          <rPr>
            <sz val="9"/>
            <color indexed="81"/>
            <rFont val="Tahoma"/>
            <family val="2"/>
          </rPr>
          <t>The usual SE of the mean, since the errors in the observed are independent.</t>
        </r>
      </text>
    </comment>
    <comment ref="D82" authorId="0" shapeId="0" xr:uid="{00000000-0006-0000-0200-000027000000}">
      <text>
        <r>
          <rPr>
            <sz val="9"/>
            <color indexed="81"/>
            <rFont val="Tahoma"/>
            <family val="2"/>
          </rPr>
          <t>Error of the mean observed scores combined via variances with the mean error in the predicted scores. Mean error of the predicted is a mean of variances, not the standard error of the mean, since these errors are highly correlated.</t>
        </r>
      </text>
    </comment>
    <comment ref="D83" authorId="0" shapeId="0" xr:uid="{00000000-0006-0000-0200-000028000000}">
      <text>
        <r>
          <rPr>
            <sz val="9"/>
            <color indexed="81"/>
            <rFont val="Tahoma"/>
            <family val="2"/>
          </rPr>
          <t>An approximation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Will</author>
    <author>Will Hopkins</author>
  </authors>
  <commentList>
    <comment ref="D11" authorId="0" shapeId="0" xr:uid="{00000000-0006-0000-0300-000001000000}">
      <text>
        <r>
          <rPr>
            <sz val="8"/>
            <color indexed="81"/>
            <rFont val="Tahoma"/>
            <family val="2"/>
          </rPr>
          <t>This number represents how certain you want to be when you say a substantial or trivial change has definitely occurred. 
Choose 90% or more for tests with negligible noise (typical error less than half the smallest important change).  When the true change since a previous test is around the smallest important change, you will make a wrong conclusion only 100-90=10% of the time or less.
For noisy tests, you pay a price for being more careful: more changes will be unclear or inconclusive. A value of 90% may be too high for such tests. For example, if the typical error is 3.3x the smallest important change (measures of competitive performance time or distance of solo athletes), and the true change is around the smallest important, 10-15% of  changes will be indicated incorrectly, but 70% of changes will be unclear. If you choose 80%, 20-30% of changes will be incorrect, but only 45% of changes will be unclear.</t>
        </r>
      </text>
    </comment>
    <comment ref="D12" authorId="0" shapeId="0" xr:uid="{00000000-0006-0000-0300-000002000000}">
      <text>
        <r>
          <rPr>
            <sz val="8"/>
            <color indexed="81"/>
            <rFont val="Tahoma"/>
            <family val="2"/>
          </rPr>
          <t xml:space="preserve">A possible increase is also usually a possible trivial change, hence </t>
        </r>
        <r>
          <rPr>
            <sz val="8"/>
            <color indexed="81"/>
            <rFont val="Symbol"/>
            <family val="1"/>
            <charset val="2"/>
          </rPr>
          <t>­«</t>
        </r>
        <r>
          <rPr>
            <sz val="8"/>
            <color indexed="81"/>
            <rFont val="Tahoma"/>
            <family val="2"/>
          </rPr>
          <t xml:space="preserve">.  A possible decrease is also usually a possibly trivial change, hence </t>
        </r>
        <r>
          <rPr>
            <sz val="8"/>
            <color indexed="81"/>
            <rFont val="Symbol"/>
            <family val="1"/>
            <charset val="2"/>
          </rPr>
          <t>«¯</t>
        </r>
        <r>
          <rPr>
            <sz val="8"/>
            <color indexed="81"/>
            <rFont val="Tahoma"/>
            <family val="2"/>
          </rPr>
          <t xml:space="preserve">.
Whether you act on possible changes is up to you and the individual you are assessing. The actual chances of changes shown in the analysis cells should help guide your decision.
</t>
        </r>
      </text>
    </comment>
    <comment ref="C17" authorId="1" shapeId="0" xr:uid="{00000000-0006-0000-0300-000003000000}">
      <text>
        <r>
          <rPr>
            <sz val="8"/>
            <color indexed="81"/>
            <rFont val="Tahoma"/>
            <family val="2"/>
          </rPr>
          <t xml:space="preserve">Values of the typical error and degrees of freedom are required to generate chances of seeing outcomes. The numbers in red are what this spreadsheet is using (and zero implies it is not being used). If you do not insert values in the blank cells (E17-E19), the spreadsheet uses values from the </t>
        </r>
        <r>
          <rPr>
            <b/>
            <sz val="8"/>
            <color indexed="81"/>
            <rFont val="Tahoma"/>
            <family val="2"/>
          </rPr>
          <t>Trend Data</t>
        </r>
        <r>
          <rPr>
            <sz val="8"/>
            <color indexed="81"/>
            <rFont val="Tahoma"/>
            <family val="2"/>
          </rPr>
          <t xml:space="preserve"> spreadsheet. If you insert numbers in the blank cells, they will replace the numbers in red.
See the comments in the corresponding cells in the </t>
        </r>
        <r>
          <rPr>
            <b/>
            <sz val="8"/>
            <color indexed="81"/>
            <rFont val="Tahoma"/>
            <family val="2"/>
          </rPr>
          <t>Trend Data</t>
        </r>
        <r>
          <rPr>
            <sz val="8"/>
            <color indexed="81"/>
            <rFont val="Tahoma"/>
            <family val="2"/>
          </rPr>
          <t xml:space="preserve"> spreadsheet for more information about the typical error.</t>
        </r>
      </text>
    </comment>
    <comment ref="C18" authorId="0" shapeId="0" xr:uid="{00000000-0006-0000-0300-000004000000}">
      <text>
        <r>
          <rPr>
            <sz val="9"/>
            <color indexed="81"/>
            <rFont val="Tahoma"/>
            <family val="2"/>
          </rPr>
          <t xml:space="preserve">If you do not provide a value, the value shown is the typical error expressed as a percent of the </t>
        </r>
        <r>
          <rPr>
            <b/>
            <sz val="9"/>
            <color indexed="81"/>
            <rFont val="Tahoma"/>
            <family val="2"/>
          </rPr>
          <t xml:space="preserve">Chosen scores to average </t>
        </r>
        <r>
          <rPr>
            <sz val="9"/>
            <color indexed="81"/>
            <rFont val="Tahoma"/>
            <family val="2"/>
          </rPr>
          <t xml:space="preserve">in the </t>
        </r>
        <r>
          <rPr>
            <b/>
            <sz val="9"/>
            <color indexed="81"/>
            <rFont val="Tahoma"/>
            <family val="2"/>
          </rPr>
          <t>Trend Data</t>
        </r>
        <r>
          <rPr>
            <sz val="9"/>
            <color indexed="81"/>
            <rFont val="Tahoma"/>
            <family val="2"/>
          </rPr>
          <t xml:space="preserve"> sheet, so you must choose at least one such score or you will get an error.</t>
        </r>
      </text>
    </comment>
    <comment ref="D21" authorId="1" shapeId="0" xr:uid="{00000000-0006-0000-0300-000005000000}">
      <text>
        <r>
          <rPr>
            <sz val="8"/>
            <color indexed="81"/>
            <rFont val="Tahoma"/>
            <family val="2"/>
          </rPr>
          <t xml:space="preserve">I suggest you set this value in the corresponding cell in the </t>
        </r>
        <r>
          <rPr>
            <b/>
            <sz val="8"/>
            <color indexed="81"/>
            <rFont val="Tahoma"/>
            <family val="2"/>
          </rPr>
          <t>Trend Data</t>
        </r>
        <r>
          <rPr>
            <sz val="8"/>
            <color indexed="81"/>
            <rFont val="Tahoma"/>
            <family val="2"/>
          </rPr>
          <t xml:space="preserve"> spreadsheet. Read the comment there for more information.</t>
        </r>
      </text>
    </comment>
    <comment ref="F24" authorId="0" shapeId="0" xr:uid="{00000000-0006-0000-0300-000006000000}">
      <text>
        <r>
          <rPr>
            <sz val="9"/>
            <color indexed="81"/>
            <rFont val="Tahoma"/>
            <family val="2"/>
          </rPr>
          <t xml:space="preserve">Use this panel to get some sense of how often you can expect to see an inference consistent with a true change. It shows the expected chances of seeing various inferential outcomes for the above measurement values and for a chosen true value of the change (immediately below).
The outcomes are shown in two columns: one for the change of any single test from a previous test (which uses your typical error, if you supply one, otherwise the standard error of the estimate from the </t>
        </r>
        <r>
          <rPr>
            <b/>
            <sz val="9"/>
            <color indexed="81"/>
            <rFont val="Tahoma"/>
            <family val="2"/>
          </rPr>
          <t>Trend Data</t>
        </r>
        <r>
          <rPr>
            <sz val="9"/>
            <color indexed="81"/>
            <rFont val="Tahoma"/>
            <family val="2"/>
          </rPr>
          <t xml:space="preserve"> spreadsheet); and the other for the change from the linear trend of the average of the chosen tests in the </t>
        </r>
        <r>
          <rPr>
            <b/>
            <sz val="9"/>
            <color indexed="81"/>
            <rFont val="Tahoma"/>
            <family val="2"/>
          </rPr>
          <t>Trend Data</t>
        </r>
        <r>
          <rPr>
            <sz val="9"/>
            <color indexed="81"/>
            <rFont val="Tahoma"/>
            <family val="2"/>
          </rPr>
          <t xml:space="preserve"> spreadsheet (which uses the standard error of the estimate and the typical error defined in that spreadsheet).  To get the chances of outcomes for a </t>
        </r>
        <r>
          <rPr>
            <i/>
            <sz val="9"/>
            <color indexed="81"/>
            <rFont val="Tahoma"/>
            <family val="2"/>
          </rPr>
          <t xml:space="preserve">single </t>
        </r>
        <r>
          <rPr>
            <sz val="9"/>
            <color indexed="81"/>
            <rFont val="Tahoma"/>
            <family val="2"/>
          </rPr>
          <t xml:space="preserve">test from the </t>
        </r>
        <r>
          <rPr>
            <i/>
            <sz val="9"/>
            <color indexed="81"/>
            <rFont val="Tahoma"/>
            <family val="2"/>
          </rPr>
          <t>linear trend</t>
        </r>
        <r>
          <rPr>
            <sz val="9"/>
            <color indexed="81"/>
            <rFont val="Tahoma"/>
            <family val="2"/>
          </rPr>
          <t xml:space="preserve">, choose only one test to average. 
Start by making the true change zero (or leaving the cells for the true change blank) to see how often you can expect to get "false positives": chances of </t>
        </r>
        <r>
          <rPr>
            <sz val="9"/>
            <color indexed="81"/>
            <rFont val="Symbol"/>
            <family val="1"/>
            <charset val="2"/>
          </rPr>
          <t>­*</t>
        </r>
        <r>
          <rPr>
            <sz val="9"/>
            <color indexed="81"/>
            <rFont val="Tahoma"/>
            <family val="2"/>
          </rPr>
          <t xml:space="preserve"> and </t>
        </r>
        <r>
          <rPr>
            <sz val="9"/>
            <color indexed="81"/>
            <rFont val="Symbol"/>
            <family val="1"/>
            <charset val="2"/>
          </rPr>
          <t xml:space="preserve">¯* </t>
        </r>
        <r>
          <rPr>
            <sz val="9"/>
            <color indexed="81"/>
            <rFont val="Tahoma"/>
            <family val="2"/>
          </rPr>
          <t xml:space="preserve">(very likely increases and very like decreases).  The chances of </t>
        </r>
        <r>
          <rPr>
            <sz val="9"/>
            <color indexed="81"/>
            <rFont val="Symbol"/>
            <family val="1"/>
            <charset val="2"/>
          </rPr>
          <t>­«</t>
        </r>
        <r>
          <rPr>
            <sz val="9"/>
            <color indexed="81"/>
            <rFont val="Tahoma"/>
            <family val="2"/>
          </rPr>
          <t xml:space="preserve"> or </t>
        </r>
        <r>
          <rPr>
            <sz val="9"/>
            <color indexed="81"/>
            <rFont val="Symbol"/>
            <family val="1"/>
            <charset val="2"/>
          </rPr>
          <t>«¯</t>
        </r>
        <r>
          <rPr>
            <sz val="9"/>
            <color indexed="81"/>
            <rFont val="Tahoma"/>
            <family val="2"/>
          </rPr>
          <t xml:space="preserve"> are not strictly false positives in MBI, because you are saying the change could be trivial (as well as a substantial increase or decrease, but not both).  
Then make the true change equal the smallest important and see how often you can expect to get possible and very likely substantial increases and decreases. Then make the true change 2x, 3x, 4x,... the smallest important.
You will find that using average changes from the linear trend gives you less chance of false positives and more chance of seeing real (true substantial) changes.
Chances of outcomes for a given true </t>
        </r>
        <r>
          <rPr>
            <i/>
            <sz val="9"/>
            <color indexed="81"/>
            <rFont val="Tahoma"/>
            <family val="2"/>
          </rPr>
          <t>trend</t>
        </r>
        <r>
          <rPr>
            <sz val="9"/>
            <color indexed="81"/>
            <rFont val="Tahoma"/>
            <family val="2"/>
          </rPr>
          <t xml:space="preserve"> will not be provided anytime soon!  Use the Trend Simulation spreadsheet to get an idea of how often you will see the various inferences for a target trend when you simulate various real trends.</t>
        </r>
      </text>
    </comment>
    <comment ref="D25" authorId="1" shapeId="0" xr:uid="{00000000-0006-0000-0300-000007000000}">
      <text>
        <r>
          <rPr>
            <sz val="8"/>
            <color indexed="81"/>
            <rFont val="Tahoma"/>
            <family val="2"/>
          </rPr>
          <t>Blank cells here are equivalent to zero true change.
You may insert a negative value.</t>
        </r>
      </text>
    </comment>
    <comment ref="D29" authorId="0" shapeId="0" xr:uid="{00000000-0006-0000-0300-000008000000}">
      <text>
        <r>
          <rPr>
            <sz val="9"/>
            <color indexed="81"/>
            <rFont val="Tahoma"/>
            <family val="2"/>
          </rPr>
          <t xml:space="preserve">That is, the chances of seeing a change that could be a substantial increase and a substantial decrease. (? is equivalent to </t>
        </r>
        <r>
          <rPr>
            <sz val="9"/>
            <color indexed="81"/>
            <rFont val="Symbol"/>
            <family val="1"/>
            <charset val="2"/>
          </rPr>
          <t>­¯</t>
        </r>
        <r>
          <rPr>
            <sz val="9"/>
            <color indexed="81"/>
            <rFont val="Tahoma"/>
            <family val="2"/>
          </rPr>
          <t>.)</t>
        </r>
      </text>
    </comment>
    <comment ref="D30" authorId="0" shapeId="0" xr:uid="{00000000-0006-0000-0300-000009000000}">
      <text>
        <r>
          <rPr>
            <sz val="9"/>
            <color indexed="81"/>
            <rFont val="Tahoma"/>
            <family val="2"/>
          </rPr>
          <t>That is, the chances of seeing a change that is indicated as a very likely substantial increase. (It is also very unlikely to be a trivial or substantial decrease.)</t>
        </r>
      </text>
    </comment>
    <comment ref="D31" authorId="0" shapeId="0" xr:uid="{00000000-0006-0000-0300-00000A000000}">
      <text>
        <r>
          <rPr>
            <sz val="9"/>
            <color indexed="81"/>
            <rFont val="Tahoma"/>
            <family val="2"/>
          </rPr>
          <t xml:space="preserve">That is, the chances of seeing a change that is indicated as a possible increase and a possible trivial change. (Rarely you may see </t>
        </r>
        <r>
          <rPr>
            <sz val="9"/>
            <color indexed="81"/>
            <rFont val="Symbol"/>
            <family val="1"/>
            <charset val="2"/>
          </rPr>
          <t>­</t>
        </r>
        <r>
          <rPr>
            <sz val="9"/>
            <color indexed="81"/>
            <rFont val="Tahoma"/>
            <family val="2"/>
          </rPr>
          <t xml:space="preserve"> on its own, indicating a possible increase that is not possibly trivial.)</t>
        </r>
      </text>
    </comment>
    <comment ref="D32" authorId="0" shapeId="0" xr:uid="{00000000-0006-0000-0300-00000B000000}">
      <text>
        <r>
          <rPr>
            <sz val="9"/>
            <color indexed="81"/>
            <rFont val="Tahoma"/>
            <family val="2"/>
          </rPr>
          <t xml:space="preserve">That is, the chances of seeing a change that is indicated as possibly or very likely trivial. (Rarely you may see </t>
        </r>
        <r>
          <rPr>
            <sz val="9"/>
            <color indexed="81"/>
            <rFont val="Symbol"/>
            <family val="1"/>
            <charset val="2"/>
          </rPr>
          <t>«</t>
        </r>
        <r>
          <rPr>
            <sz val="9"/>
            <color indexed="81"/>
            <rFont val="Tahoma"/>
            <family val="2"/>
          </rPr>
          <t xml:space="preserve"> on its own, indicating a possible trivial change that is not possibly an increase and not possibly a decrease.)</t>
        </r>
      </text>
    </comment>
    <comment ref="D33" authorId="0" shapeId="0" xr:uid="{00000000-0006-0000-0300-00000C000000}">
      <text>
        <r>
          <rPr>
            <sz val="9"/>
            <color indexed="81"/>
            <rFont val="Tahoma"/>
            <family val="2"/>
          </rPr>
          <t xml:space="preserve">That is, the chances of seeing a change that is indicated as a possible decrease and a possible trivial change. (Rarely you may see </t>
        </r>
        <r>
          <rPr>
            <sz val="9"/>
            <color indexed="81"/>
            <rFont val="Symbol"/>
            <family val="1"/>
            <charset val="2"/>
          </rPr>
          <t xml:space="preserve">¯ </t>
        </r>
        <r>
          <rPr>
            <sz val="9"/>
            <color indexed="81"/>
            <rFont val="Tahoma"/>
            <family val="2"/>
          </rPr>
          <t>on its own, indicating a possible decrease that is not possibly trivial.)</t>
        </r>
      </text>
    </comment>
    <comment ref="D34" authorId="0" shapeId="0" xr:uid="{00000000-0006-0000-0300-00000D000000}">
      <text>
        <r>
          <rPr>
            <sz val="9"/>
            <color indexed="81"/>
            <rFont val="Tahoma"/>
            <family val="2"/>
          </rPr>
          <t>That is, the chances of seeing a change that is indicated as a very likely substantial decrease. (It is also very unlikely to be a trivial or substantial increase.)</t>
        </r>
      </text>
    </comment>
    <comment ref="D35" authorId="0" shapeId="0" xr:uid="{00000000-0006-0000-0300-00000E000000}">
      <text>
        <r>
          <rPr>
            <sz val="9"/>
            <color indexed="81"/>
            <rFont val="Tahoma"/>
            <family val="2"/>
          </rPr>
          <t xml:space="preserve">Some practitioners like to thnk about definitive changes in this way. 
The number shown represents the number of typical errors greater than the smallest important change that the observed change has to be before it is judged to be definitive. 
If 90% is chosen as </t>
        </r>
        <r>
          <rPr>
            <i/>
            <sz val="9"/>
            <color indexed="81"/>
            <rFont val="Tahoma"/>
            <family val="2"/>
          </rPr>
          <t>very likely</t>
        </r>
        <r>
          <rPr>
            <sz val="9"/>
            <color indexed="81"/>
            <rFont val="Tahoma"/>
            <family val="2"/>
          </rPr>
          <t xml:space="preserve">, the number is 1.8-2.0 typical errors, depending on the degrees of freedom for the typical error.  If 85% is chosen, the number is 1.5-1.6.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Will</author>
    <author>Will Hopkins</author>
  </authors>
  <commentList>
    <comment ref="D4" authorId="0" shapeId="0" xr:uid="{00000000-0006-0000-0500-000001000000}">
      <text>
        <r>
          <rPr>
            <sz val="8"/>
            <color indexed="81"/>
            <rFont val="Tahoma"/>
            <family val="2"/>
          </rPr>
          <t>This number represents how certain you want to be when you say a substantial or trivial change has definitely occurred. 
Choose 90% or more for tests with negligible noise (typical error less than half the smallest important change).  When the true change since a previous test is around the smallest important change, you will make a wrong conclusion only 100-90=10% of the time or less.
For noisy tests, you pay a price for being more careful: more changes will be unclear or inconclusive. A value of 90% may be too high for such tests. For example, if the typical error is 3.3x the smallest important change (measures of competitive performance time or distance of solo athletes), and the true change is around the smallest important, 10-15% of  changes will be indicated incorrectly, but 70% of changes will be unclear. If you choose 80%, 20-30% of changes will be incorrect, but only 45% of changes will be unclear.</t>
        </r>
      </text>
    </comment>
    <comment ref="D5" authorId="0" shapeId="0" xr:uid="{00000000-0006-0000-0500-000002000000}">
      <text>
        <r>
          <rPr>
            <sz val="8"/>
            <color indexed="81"/>
            <rFont val="Tahoma"/>
            <family val="2"/>
          </rPr>
          <t xml:space="preserve">A possible increase is also usually a possible trivial change, hence </t>
        </r>
        <r>
          <rPr>
            <sz val="8"/>
            <color indexed="81"/>
            <rFont val="Symbol"/>
            <family val="1"/>
            <charset val="2"/>
          </rPr>
          <t>­«</t>
        </r>
        <r>
          <rPr>
            <sz val="8"/>
            <color indexed="81"/>
            <rFont val="Tahoma"/>
            <family val="2"/>
          </rPr>
          <t xml:space="preserve">.  A possible decrease is also usually a possibly trivial change, hence </t>
        </r>
        <r>
          <rPr>
            <sz val="8"/>
            <color indexed="81"/>
            <rFont val="Symbol"/>
            <family val="1"/>
            <charset val="2"/>
          </rPr>
          <t>«¯</t>
        </r>
        <r>
          <rPr>
            <sz val="8"/>
            <color indexed="81"/>
            <rFont val="Tahoma"/>
            <family val="2"/>
          </rPr>
          <t xml:space="preserve">.
Whether you act on possible changes is up to you and the individual you are assessing. The actual chances of changes shown in the analysis cells should help guide your decision.
</t>
        </r>
      </text>
    </comment>
    <comment ref="D9" authorId="1" shapeId="0" xr:uid="{00000000-0006-0000-0500-000003000000}">
      <text>
        <r>
          <rPr>
            <sz val="8"/>
            <color indexed="81"/>
            <rFont val="Tahoma"/>
            <family val="2"/>
          </rPr>
          <t>Insert a typical value for the individual. If the score is a proportion of a count of something, express it in percent units (100x a count of "events" divided by a count of "trials").</t>
        </r>
      </text>
    </comment>
    <comment ref="D10" authorId="1" shapeId="0" xr:uid="{00000000-0006-0000-0500-000004000000}">
      <text>
        <r>
          <rPr>
            <sz val="8"/>
            <color indexed="81"/>
            <rFont val="Tahoma"/>
            <family val="2"/>
          </rPr>
          <t>Start with a zero true trend, so you can see how often you get Type-1 (false-positive) errors: how often the inference shows a non-existent substantial trend. 
Then insert a realistic true trend to see how often you get false-negative (Type-2) errors: how often the inference fails to show a substantial trend.  The trend is the change the individual could show over an extended period (e.g., 10 weeks, a season, or a year). Insert the period in the same units as the time of the test scores (days, if you insert the dates of the test scores).
Do not investigate a substantial trend and substantial changes simultaneously.</t>
        </r>
      </text>
    </comment>
    <comment ref="E14" authorId="1" shapeId="0" xr:uid="{00000000-0006-0000-0500-000005000000}">
      <text>
        <r>
          <rPr>
            <sz val="8"/>
            <color indexed="81"/>
            <rFont val="Tahoma"/>
            <family val="2"/>
          </rPr>
          <t>Start with a zero extra changes, so you can see how often you get Type-1  (false-positive) errors: how often the inference shows a non-existent substantial change. 
Then insert one or more substantial values at time points not chosen for the trend analysis to see how often you get false-negative (Type-2) errors: how often the inference fails to show a substantial change. For the analysis of changes from the previous test, avoid inserting the same substantial value at contiguous time points, because there will be no substantial change between those points. This problem does not occur with the analysis of changes from the linear trend.</t>
        </r>
      </text>
    </comment>
    <comment ref="C18" authorId="1" shapeId="0" xr:uid="{00000000-0006-0000-0500-000006000000}">
      <text>
        <r>
          <rPr>
            <sz val="8"/>
            <color indexed="81"/>
            <rFont val="Tahoma"/>
            <family val="2"/>
          </rPr>
          <t xml:space="preserve">Values of the typical error and degrees of freedom are required to generate test scores. The numbers in red are what this spreadsheet is using (and zero implies it is not being used). If you do not insert values in the blank cells (E18-E20), the spreadsheet will use values from the </t>
        </r>
        <r>
          <rPr>
            <b/>
            <sz val="8"/>
            <color indexed="81"/>
            <rFont val="Tahoma"/>
            <family val="2"/>
          </rPr>
          <t>Trend Data</t>
        </r>
        <r>
          <rPr>
            <sz val="8"/>
            <color indexed="81"/>
            <rFont val="Tahoma"/>
            <family val="2"/>
          </rPr>
          <t xml:space="preserve"> spreadsheet. If you insert numbers in the blank cells, they will replace the numbers in red.
If you see #DIV/0!, you have inserted a percent typical error. You must also choose at least one score to average, so the spreadsheet can convert the percent error to a raw error.
See the comments in the corresponding cells in the </t>
        </r>
        <r>
          <rPr>
            <b/>
            <sz val="8"/>
            <color indexed="81"/>
            <rFont val="Tahoma"/>
            <family val="2"/>
          </rPr>
          <t>Trend Data</t>
        </r>
        <r>
          <rPr>
            <sz val="8"/>
            <color indexed="81"/>
            <rFont val="Tahoma"/>
            <family val="2"/>
          </rPr>
          <t xml:space="preserve"> spreadsheet for more information about the typical error.</t>
        </r>
      </text>
    </comment>
    <comment ref="C19" authorId="0" shapeId="0" xr:uid="{00000000-0006-0000-0500-000007000000}">
      <text>
        <r>
          <rPr>
            <sz val="9"/>
            <color indexed="81"/>
            <rFont val="Tahoma"/>
            <family val="2"/>
          </rPr>
          <t xml:space="preserve">If you do not provide a value for the raw or percent error, the value shown is the typical error expressed as a percent of the </t>
        </r>
        <r>
          <rPr>
            <b/>
            <sz val="9"/>
            <color indexed="81"/>
            <rFont val="Tahoma"/>
            <family val="2"/>
          </rPr>
          <t xml:space="preserve">Chosen scores to average </t>
        </r>
        <r>
          <rPr>
            <sz val="9"/>
            <color indexed="81"/>
            <rFont val="Tahoma"/>
            <family val="2"/>
          </rPr>
          <t xml:space="preserve">in the </t>
        </r>
        <r>
          <rPr>
            <b/>
            <sz val="9"/>
            <color indexed="81"/>
            <rFont val="Tahoma"/>
            <family val="2"/>
          </rPr>
          <t>Trend Data</t>
        </r>
        <r>
          <rPr>
            <sz val="9"/>
            <color indexed="81"/>
            <rFont val="Tahoma"/>
            <family val="2"/>
          </rPr>
          <t xml:space="preserve"> sheet, so you must choose at least one such score or you will get an error.
If you provide a raw typical error, the value shown is its value expressed as a percent of the</t>
        </r>
        <r>
          <rPr>
            <b/>
            <sz val="9"/>
            <color indexed="81"/>
            <rFont val="Tahoma"/>
            <family val="2"/>
          </rPr>
          <t xml:space="preserve"> Chosen scores to average</t>
        </r>
        <r>
          <rPr>
            <sz val="9"/>
            <color indexed="81"/>
            <rFont val="Tahoma"/>
            <family val="2"/>
          </rPr>
          <t xml:space="preserve"> in this sheet, so you must choose at least one such score or you will get an error.</t>
        </r>
      </text>
    </comment>
    <comment ref="D21" authorId="1" shapeId="0" xr:uid="{00000000-0006-0000-0500-000008000000}">
      <text>
        <r>
          <rPr>
            <sz val="9"/>
            <color indexed="81"/>
            <rFont val="Tahoma"/>
            <family val="2"/>
          </rPr>
          <t xml:space="preserve">I suggest you set this value in the corresponding cell in the </t>
        </r>
        <r>
          <rPr>
            <b/>
            <sz val="9"/>
            <color indexed="81"/>
            <rFont val="Tahoma"/>
            <family val="2"/>
          </rPr>
          <t>Trend Data</t>
        </r>
        <r>
          <rPr>
            <sz val="9"/>
            <color indexed="81"/>
            <rFont val="Tahoma"/>
            <family val="2"/>
          </rPr>
          <t xml:space="preserve"> spreadsheet. Read the comment there for more information.
A value of exactly 0 implies implies the smallest </t>
        </r>
        <r>
          <rPr>
            <sz val="9"/>
            <color indexed="81"/>
            <rFont val="Symbol"/>
            <family val="1"/>
            <charset val="2"/>
          </rPr>
          <t>D</t>
        </r>
        <r>
          <rPr>
            <sz val="9"/>
            <color indexed="81"/>
            <rFont val="Tahoma"/>
            <family val="2"/>
          </rPr>
          <t xml:space="preserve"> (%) is being used.</t>
        </r>
      </text>
    </comment>
    <comment ref="D22" authorId="0" shapeId="0" xr:uid="{00000000-0006-0000-0500-000009000000}">
      <text>
        <r>
          <rPr>
            <sz val="9"/>
            <color indexed="81"/>
            <rFont val="Tahoma"/>
            <family val="2"/>
          </rPr>
          <t>A value of exactly 0 implies it is not being used.</t>
        </r>
      </text>
    </comment>
    <comment ref="F23" authorId="0" shapeId="0" xr:uid="{00000000-0006-0000-0500-00000A000000}">
      <text>
        <r>
          <rPr>
            <sz val="9"/>
            <color indexed="81"/>
            <rFont val="Tahoma"/>
            <family val="2"/>
          </rPr>
          <t xml:space="preserve">Use this panel to get some sense of how often you can expect to see an inference consistent with a true change. It shows the expected chances of seeing various inferential outcomes for the above measurement values and for a chosen true value of the change (immediately below).
The outcomes are shown in two columns: one for the change from the linear trend of the average of the chosen tests (which uses your data for the standard error of the estimate from the linear trend, and your typical error, if you supply one), and the other for the change of any single test from a previous test (which uses your typical error, if you supply one, otherwise the standard error of the estimate).  To get the chances of outcomes for a </t>
        </r>
        <r>
          <rPr>
            <i/>
            <sz val="9"/>
            <color indexed="81"/>
            <rFont val="Tahoma"/>
            <family val="2"/>
          </rPr>
          <t xml:space="preserve">single </t>
        </r>
        <r>
          <rPr>
            <sz val="9"/>
            <color indexed="81"/>
            <rFont val="Tahoma"/>
            <family val="2"/>
          </rPr>
          <t xml:space="preserve">test from the </t>
        </r>
        <r>
          <rPr>
            <i/>
            <sz val="9"/>
            <color indexed="81"/>
            <rFont val="Tahoma"/>
            <family val="2"/>
          </rPr>
          <t>linear trend</t>
        </r>
        <r>
          <rPr>
            <sz val="9"/>
            <color indexed="81"/>
            <rFont val="Tahoma"/>
            <family val="2"/>
          </rPr>
          <t xml:space="preserve">, choose only one test to average. 
Start by making the true change zero (or leaving the cells for the true change blank) to see how often you can expect to get "false positives": chances of </t>
        </r>
        <r>
          <rPr>
            <sz val="9"/>
            <color indexed="81"/>
            <rFont val="Symbol"/>
            <family val="1"/>
            <charset val="2"/>
          </rPr>
          <t>­*</t>
        </r>
        <r>
          <rPr>
            <sz val="9"/>
            <color indexed="81"/>
            <rFont val="Tahoma"/>
            <family val="2"/>
          </rPr>
          <t xml:space="preserve"> and </t>
        </r>
        <r>
          <rPr>
            <sz val="9"/>
            <color indexed="81"/>
            <rFont val="Symbol"/>
            <family val="1"/>
            <charset val="2"/>
          </rPr>
          <t xml:space="preserve">¯* </t>
        </r>
        <r>
          <rPr>
            <sz val="9"/>
            <color indexed="81"/>
            <rFont val="Tahoma"/>
            <family val="2"/>
          </rPr>
          <t xml:space="preserve">(very likely increases and very like decreases).  The chances of </t>
        </r>
        <r>
          <rPr>
            <sz val="9"/>
            <color indexed="81"/>
            <rFont val="Symbol"/>
            <family val="1"/>
            <charset val="2"/>
          </rPr>
          <t>­«</t>
        </r>
        <r>
          <rPr>
            <sz val="9"/>
            <color indexed="81"/>
            <rFont val="Tahoma"/>
            <family val="2"/>
          </rPr>
          <t xml:space="preserve"> or </t>
        </r>
        <r>
          <rPr>
            <sz val="9"/>
            <color indexed="81"/>
            <rFont val="Symbol"/>
            <family val="1"/>
            <charset val="2"/>
          </rPr>
          <t>«¯</t>
        </r>
        <r>
          <rPr>
            <sz val="9"/>
            <color indexed="81"/>
            <rFont val="Tahoma"/>
            <family val="2"/>
          </rPr>
          <t xml:space="preserve"> are not strictly false positives in MBI, because you are saying the change could be trivial (as well as a substantial increase or decrease, but not both).  
Then make the true change equal the smallest important or twice the smallest important and see how often you can expect to get possible and very likely substantial increases and decreases.
You will find that using average changes from the linear trend gives you less chance of false positives and more chance of seeing real (true substantial) changes.
Chances of any seeing any clear possible trivial outcome (</t>
        </r>
        <r>
          <rPr>
            <sz val="9"/>
            <color indexed="81"/>
            <rFont val="Symbol"/>
            <family val="1"/>
            <charset val="2"/>
          </rPr>
          <t>­«, «¯, «</t>
        </r>
        <r>
          <rPr>
            <sz val="9"/>
            <color indexed="81"/>
            <rFont val="Tahoma"/>
            <family val="2"/>
          </rPr>
          <t>) or very likely trivial outcome (</t>
        </r>
        <r>
          <rPr>
            <sz val="9"/>
            <color indexed="81"/>
            <rFont val="Symbol"/>
            <family val="1"/>
            <charset val="2"/>
          </rPr>
          <t>«*</t>
        </r>
        <r>
          <rPr>
            <sz val="9"/>
            <color indexed="81"/>
            <rFont val="Tahoma"/>
            <family val="2"/>
          </rPr>
          <t>) for a given true value cannot be calculated with this spreadsheet.
Chances of outcomes for a given true trend will not be provided anytime soon!  Use the Trend Simulation spreadsheet to get an idea of how often you will see the various inferences for a target trend when you simulate various real trends.</t>
        </r>
      </text>
    </comment>
    <comment ref="D24" authorId="1" shapeId="0" xr:uid="{00000000-0006-0000-0500-00000B000000}">
      <text>
        <r>
          <rPr>
            <sz val="8"/>
            <color indexed="81"/>
            <rFont val="Tahoma"/>
            <family val="2"/>
          </rPr>
          <t>Blank cells here are equivalent to zero true change.
You may insert a negative value.</t>
        </r>
      </text>
    </comment>
    <comment ref="D28" authorId="0" shapeId="0" xr:uid="{00000000-0006-0000-0500-00000C000000}">
      <text>
        <r>
          <rPr>
            <sz val="9"/>
            <color indexed="81"/>
            <rFont val="Tahoma"/>
            <family val="2"/>
          </rPr>
          <t xml:space="preserve">That is, the chances of seeing a change that could be a substantial increase and a substantial decrease. (? is equivalent to </t>
        </r>
        <r>
          <rPr>
            <sz val="9"/>
            <color indexed="81"/>
            <rFont val="Symbol"/>
            <family val="1"/>
            <charset val="2"/>
          </rPr>
          <t>­¯</t>
        </r>
        <r>
          <rPr>
            <sz val="9"/>
            <color indexed="81"/>
            <rFont val="Tahoma"/>
            <family val="2"/>
          </rPr>
          <t>.)</t>
        </r>
      </text>
    </comment>
    <comment ref="D29" authorId="0" shapeId="0" xr:uid="{00000000-0006-0000-0500-00000D000000}">
      <text>
        <r>
          <rPr>
            <sz val="9"/>
            <color indexed="81"/>
            <rFont val="Tahoma"/>
            <family val="2"/>
          </rPr>
          <t>That is, the chances of seeing a change that is indicated as a very likely substantial increase. (It is also very unlikely to be a trivial or substantial decrease.)</t>
        </r>
      </text>
    </comment>
    <comment ref="D30" authorId="0" shapeId="0" xr:uid="{00000000-0006-0000-0500-00000E000000}">
      <text>
        <r>
          <rPr>
            <sz val="9"/>
            <color indexed="81"/>
            <rFont val="Tahoma"/>
            <family val="2"/>
          </rPr>
          <t xml:space="preserve">That is, the chances of seeing a change that is indicated as a possible increase and a possible trivial change. (Rarely you may see </t>
        </r>
        <r>
          <rPr>
            <sz val="9"/>
            <color indexed="81"/>
            <rFont val="Symbol"/>
            <family val="1"/>
            <charset val="2"/>
          </rPr>
          <t>­</t>
        </r>
        <r>
          <rPr>
            <sz val="9"/>
            <color indexed="81"/>
            <rFont val="Tahoma"/>
            <family val="2"/>
          </rPr>
          <t xml:space="preserve"> on its own, indicating a possible increase that is not possibly trivial.)</t>
        </r>
      </text>
    </comment>
    <comment ref="D31" authorId="0" shapeId="0" xr:uid="{00000000-0006-0000-0500-00000F000000}">
      <text>
        <r>
          <rPr>
            <sz val="9"/>
            <color indexed="81"/>
            <rFont val="Tahoma"/>
            <family val="2"/>
          </rPr>
          <t xml:space="preserve">That is, the chances of seeing a change that is indicated as possibly or very likely trivial. (Rarely you may see </t>
        </r>
        <r>
          <rPr>
            <sz val="9"/>
            <color indexed="81"/>
            <rFont val="Symbol"/>
            <family val="1"/>
            <charset val="2"/>
          </rPr>
          <t>«</t>
        </r>
        <r>
          <rPr>
            <sz val="9"/>
            <color indexed="81"/>
            <rFont val="Tahoma"/>
            <family val="2"/>
          </rPr>
          <t xml:space="preserve"> on its own, indicating a possible trivial change that is not possibly an increase and not possibly a decrease.)</t>
        </r>
      </text>
    </comment>
    <comment ref="D32" authorId="0" shapeId="0" xr:uid="{00000000-0006-0000-0500-000010000000}">
      <text>
        <r>
          <rPr>
            <sz val="9"/>
            <color indexed="81"/>
            <rFont val="Tahoma"/>
            <family val="2"/>
          </rPr>
          <t xml:space="preserve">That is, the chances of seeing a change that is indicated as a possible decrease and a possible trivial change. (Rarely you may see </t>
        </r>
        <r>
          <rPr>
            <sz val="9"/>
            <color indexed="81"/>
            <rFont val="Symbol"/>
            <family val="1"/>
            <charset val="2"/>
          </rPr>
          <t xml:space="preserve">¯ </t>
        </r>
        <r>
          <rPr>
            <sz val="9"/>
            <color indexed="81"/>
            <rFont val="Tahoma"/>
            <family val="2"/>
          </rPr>
          <t>on its own, indicating a possible decrease that is not possibly trivial.)</t>
        </r>
      </text>
    </comment>
    <comment ref="D33" authorId="0" shapeId="0" xr:uid="{00000000-0006-0000-0500-000011000000}">
      <text>
        <r>
          <rPr>
            <sz val="9"/>
            <color indexed="81"/>
            <rFont val="Tahoma"/>
            <family val="2"/>
          </rPr>
          <t>That is, the chances of seeing a change that is indicated as a very likely substantial decrease. (It is also very unlikely to be a trivial or substantial increase.)</t>
        </r>
      </text>
    </comment>
    <comment ref="D34" authorId="0" shapeId="0" xr:uid="{00000000-0006-0000-0500-000012000000}">
      <text>
        <r>
          <rPr>
            <sz val="9"/>
            <color indexed="81"/>
            <rFont val="Tahoma"/>
            <family val="2"/>
          </rPr>
          <t xml:space="preserve">The number shown represents a change from the previous test expressed as a multiple of the typical error.  When the observed change is greater than this number, the true change is very likely to be a substantial increase. (And when the observed change is less than minus this number, the true change is very likely to be a substantial decrease.)
For a smallest important change of zero and 10% chosen as </t>
        </r>
        <r>
          <rPr>
            <i/>
            <sz val="9"/>
            <color indexed="81"/>
            <rFont val="Tahoma"/>
            <family val="2"/>
          </rPr>
          <t>very unlikely</t>
        </r>
        <r>
          <rPr>
            <sz val="9"/>
            <color indexed="81"/>
            <rFont val="Tahoma"/>
            <family val="2"/>
          </rPr>
          <t>, the number is 1.8-2.0 typical errors, depending on the  degrees of freedom for the typical error.</t>
        </r>
      </text>
    </comment>
    <comment ref="D35" authorId="1" shapeId="0" xr:uid="{00000000-0006-0000-0500-000013000000}">
      <text>
        <r>
          <rPr>
            <sz val="8"/>
            <color indexed="81"/>
            <rFont val="Tahoma"/>
            <family val="2"/>
          </rPr>
          <t>Insert a minimum target change the individual wants or needs to show over an extended period (e.g., 10 weeks, a season, or a year). Insert the period in the same units as the time of the test scores (days, if you insert the dates of the test scores).</t>
        </r>
      </text>
    </comment>
    <comment ref="E39" authorId="1" shapeId="0" xr:uid="{00000000-0006-0000-0500-000014000000}">
      <text>
        <r>
          <rPr>
            <sz val="8"/>
            <color indexed="81"/>
            <rFont val="Tahoma"/>
            <family val="2"/>
          </rPr>
          <t>Insert any numbers, including dates. For dates you will have to make the columns wider.</t>
        </r>
      </text>
    </comment>
    <comment ref="F39" authorId="1" shapeId="0" xr:uid="{00000000-0006-0000-0500-000015000000}">
      <text>
        <r>
          <rPr>
            <sz val="8"/>
            <color indexed="81"/>
            <rFont val="Tahoma"/>
            <family val="2"/>
          </rPr>
          <t>I chose 0.1 so the point and its error bars are slightly off the Y axis.</t>
        </r>
      </text>
    </comment>
    <comment ref="E40" authorId="1" shapeId="0" xr:uid="{00000000-0006-0000-0500-000016000000}">
      <text>
        <r>
          <rPr>
            <sz val="8"/>
            <color indexed="81"/>
            <rFont val="Tahoma"/>
            <family val="2"/>
          </rPr>
          <t>These are generated from the true starting score, true trend, true extra changes, and true typical error.</t>
        </r>
      </text>
    </comment>
    <comment ref="E41" authorId="1" shapeId="0" xr:uid="{00000000-0006-0000-0500-000017000000}">
      <text>
        <r>
          <rPr>
            <sz val="8"/>
            <color indexed="81"/>
            <rFont val="Tahoma"/>
            <family val="2"/>
          </rPr>
          <t xml:space="preserve">Insert any digit or letter to indicate the time points and test values that are used to fit a straight-line trend. 
The number of points you need to get reasonable precision for a trend and for changes from the trend will depend on the relative magnitudes of the typical error, smallest important trend, and smallest important </t>
        </r>
        <r>
          <rPr>
            <sz val="8"/>
            <color indexed="81"/>
            <rFont val="Symbol"/>
            <family val="1"/>
            <charset val="2"/>
          </rPr>
          <t>D</t>
        </r>
        <r>
          <rPr>
            <sz val="8"/>
            <color indexed="81"/>
            <rFont val="Tahoma"/>
            <family val="2"/>
          </rPr>
          <t>.</t>
        </r>
      </text>
    </comment>
    <comment ref="E42" authorId="1" shapeId="0" xr:uid="{00000000-0006-0000-0500-000018000000}">
      <text>
        <r>
          <rPr>
            <sz val="8"/>
            <color indexed="81"/>
            <rFont val="Tahoma"/>
            <family val="2"/>
          </rPr>
          <t xml:space="preserve">The number shown is the probability (expressed in percent units) that the true value of the test score at the given time point is </t>
        </r>
        <r>
          <rPr>
            <b/>
            <sz val="8"/>
            <color indexed="81"/>
            <rFont val="Tahoma"/>
            <family val="2"/>
          </rPr>
          <t xml:space="preserve">substantially greater </t>
        </r>
        <r>
          <rPr>
            <sz val="8"/>
            <color indexed="81"/>
            <rFont val="Tahoma"/>
            <family val="2"/>
          </rPr>
          <t>than the value predicted by the linear trend.</t>
        </r>
      </text>
    </comment>
    <comment ref="E43" authorId="1" shapeId="0" xr:uid="{00000000-0006-0000-0500-000019000000}">
      <text>
        <r>
          <rPr>
            <sz val="8"/>
            <color indexed="81"/>
            <rFont val="Tahoma"/>
            <family val="2"/>
          </rPr>
          <t xml:space="preserve">The number shown is the probability (expressed in percent units) that the true value of the test score at the given time point is </t>
        </r>
        <r>
          <rPr>
            <b/>
            <sz val="8"/>
            <color indexed="81"/>
            <rFont val="Tahoma"/>
            <family val="2"/>
          </rPr>
          <t>not substantially different</t>
        </r>
        <r>
          <rPr>
            <sz val="8"/>
            <color indexed="81"/>
            <rFont val="Tahoma"/>
            <family val="2"/>
          </rPr>
          <t xml:space="preserve"> from the value predicted by the linear trend.</t>
        </r>
      </text>
    </comment>
    <comment ref="E44" authorId="1" shapeId="0" xr:uid="{00000000-0006-0000-0500-00001A000000}">
      <text>
        <r>
          <rPr>
            <sz val="8"/>
            <color indexed="81"/>
            <rFont val="Tahoma"/>
            <family val="2"/>
          </rPr>
          <t xml:space="preserve">The number shown is the probability (expressed in percent units) that the true value of the test score at the given time point is </t>
        </r>
        <r>
          <rPr>
            <b/>
            <sz val="8"/>
            <color indexed="81"/>
            <rFont val="Tahoma"/>
            <family val="2"/>
          </rPr>
          <t>substantially less</t>
        </r>
        <r>
          <rPr>
            <sz val="8"/>
            <color indexed="81"/>
            <rFont val="Tahoma"/>
            <family val="2"/>
          </rPr>
          <t xml:space="preserve"> than the value predicted by the linear trend.</t>
        </r>
      </text>
    </comment>
    <comment ref="E45" authorId="1" shapeId="0" xr:uid="{00000000-0006-0000-0500-00001B000000}">
      <text>
        <r>
          <rPr>
            <sz val="8"/>
            <color indexed="81"/>
            <rFont val="Tahoma"/>
            <family val="2"/>
          </rPr>
          <t xml:space="preserve">Changes that are </t>
        </r>
        <r>
          <rPr>
            <b/>
            <sz val="8"/>
            <color indexed="81"/>
            <rFont val="Tahoma"/>
            <family val="2"/>
          </rPr>
          <t>unclear—</t>
        </r>
        <r>
          <rPr>
            <sz val="8"/>
            <color indexed="81"/>
            <rFont val="Tahoma"/>
            <family val="2"/>
          </rPr>
          <t xml:space="preserve">that is, the chances indicate that the true change could be a substantial increase and a substantial decrease—are indicated with </t>
        </r>
        <r>
          <rPr>
            <b/>
            <sz val="8"/>
            <color indexed="81"/>
            <rFont val="Tahoma"/>
            <family val="2"/>
          </rPr>
          <t>?</t>
        </r>
        <r>
          <rPr>
            <sz val="8"/>
            <color indexed="81"/>
            <rFont val="Tahoma"/>
            <family val="2"/>
          </rPr>
          <t xml:space="preserve"> (equivalent to </t>
        </r>
        <r>
          <rPr>
            <b/>
            <sz val="8"/>
            <color indexed="81"/>
            <rFont val="Symbol"/>
            <family val="1"/>
            <charset val="2"/>
          </rPr>
          <t>­¯</t>
        </r>
        <r>
          <rPr>
            <sz val="8"/>
            <color indexed="81"/>
            <rFont val="Tahoma"/>
            <family val="2"/>
          </rPr>
          <t xml:space="preserve">).
Changes are otherwise indicated with </t>
        </r>
        <r>
          <rPr>
            <b/>
            <sz val="8"/>
            <color indexed="81"/>
            <rFont val="Symbol"/>
            <family val="1"/>
            <charset val="2"/>
          </rPr>
          <t xml:space="preserve">« </t>
        </r>
        <r>
          <rPr>
            <sz val="8"/>
            <color indexed="81"/>
            <rFont val="Tahoma"/>
            <family val="2"/>
          </rPr>
          <t xml:space="preserve">and/or </t>
        </r>
        <r>
          <rPr>
            <b/>
            <sz val="8"/>
            <color indexed="81"/>
            <rFont val="Symbol"/>
            <family val="1"/>
            <charset val="2"/>
          </rPr>
          <t>­</t>
        </r>
        <r>
          <rPr>
            <sz val="8"/>
            <color indexed="81"/>
            <rFont val="Symbol"/>
            <family val="1"/>
            <charset val="2"/>
          </rPr>
          <t xml:space="preserve"> </t>
        </r>
        <r>
          <rPr>
            <sz val="8"/>
            <color indexed="81"/>
            <rFont val="Tahoma"/>
            <family val="2"/>
          </rPr>
          <t>and/or</t>
        </r>
        <r>
          <rPr>
            <sz val="8"/>
            <color indexed="81"/>
            <rFont val="Symbol"/>
            <family val="1"/>
            <charset val="2"/>
          </rPr>
          <t xml:space="preserve"> </t>
        </r>
        <r>
          <rPr>
            <b/>
            <sz val="8"/>
            <color indexed="81"/>
            <rFont val="Symbol"/>
            <family val="1"/>
            <charset val="2"/>
          </rPr>
          <t>¯</t>
        </r>
        <r>
          <rPr>
            <sz val="8"/>
            <color indexed="81"/>
            <rFont val="Tahoma"/>
            <family val="2"/>
          </rPr>
          <t xml:space="preserve"> to show that they could be trivial and/or a substantial increase and/or a substantial decrease.
Changes that are </t>
        </r>
        <r>
          <rPr>
            <i/>
            <sz val="8"/>
            <color indexed="81"/>
            <rFont val="Tahoma"/>
            <family val="2"/>
          </rPr>
          <t>very likely</t>
        </r>
        <r>
          <rPr>
            <sz val="8"/>
            <color indexed="81"/>
            <rFont val="Tahoma"/>
            <family val="2"/>
          </rPr>
          <t xml:space="preserve"> trivial or substantial are indicated with an asterisk (</t>
        </r>
        <r>
          <rPr>
            <sz val="8"/>
            <color indexed="81"/>
            <rFont val="Symbol"/>
            <family val="1"/>
            <charset val="2"/>
          </rPr>
          <t>*</t>
        </r>
        <r>
          <rPr>
            <sz val="8"/>
            <color indexed="81"/>
            <rFont val="Tahoma"/>
            <family val="2"/>
          </rPr>
          <t>).</t>
        </r>
      </text>
    </comment>
    <comment ref="E46" authorId="1" shapeId="0" xr:uid="{00000000-0006-0000-0500-00001C000000}">
      <text>
        <r>
          <rPr>
            <sz val="8"/>
            <color indexed="81"/>
            <rFont val="Tahoma"/>
            <family val="2"/>
          </rPr>
          <t>Insert any digit or letter at contiguous time points beyond the regression line. Any points contributing to the regresson line are ignored.</t>
        </r>
      </text>
    </comment>
    <comment ref="C47" authorId="1" shapeId="0" xr:uid="{00000000-0006-0000-0500-00001D000000}">
      <text>
        <r>
          <rPr>
            <sz val="8"/>
            <color indexed="81"/>
            <rFont val="Tahoma"/>
            <family val="2"/>
          </rPr>
          <t>The same average is shown for each time point only because it is difficult to show only one average.</t>
        </r>
      </text>
    </comment>
    <comment ref="E47" authorId="1" shapeId="0" xr:uid="{00000000-0006-0000-0500-00001E000000}">
      <text>
        <r>
          <rPr>
            <sz val="8"/>
            <color indexed="81"/>
            <rFont val="Tahoma"/>
            <family val="2"/>
          </rPr>
          <t xml:space="preserve">The number shown is the probability (expressed in percent units) that the true value of the test score at the given time point is </t>
        </r>
        <r>
          <rPr>
            <b/>
            <sz val="8"/>
            <color indexed="81"/>
            <rFont val="Tahoma"/>
            <family val="2"/>
          </rPr>
          <t xml:space="preserve">substantially greater </t>
        </r>
        <r>
          <rPr>
            <sz val="8"/>
            <color indexed="81"/>
            <rFont val="Tahoma"/>
            <family val="2"/>
          </rPr>
          <t>than the value predicted by the linear trend.</t>
        </r>
      </text>
    </comment>
    <comment ref="E48" authorId="1" shapeId="0" xr:uid="{00000000-0006-0000-0500-00001F000000}">
      <text>
        <r>
          <rPr>
            <sz val="8"/>
            <color indexed="81"/>
            <rFont val="Tahoma"/>
            <family val="2"/>
          </rPr>
          <t xml:space="preserve">The number shown is the probability (expressed in percent units) that the true value of the test score at the given time point is </t>
        </r>
        <r>
          <rPr>
            <b/>
            <sz val="8"/>
            <color indexed="81"/>
            <rFont val="Tahoma"/>
            <family val="2"/>
          </rPr>
          <t>not substantially different</t>
        </r>
        <r>
          <rPr>
            <sz val="8"/>
            <color indexed="81"/>
            <rFont val="Tahoma"/>
            <family val="2"/>
          </rPr>
          <t xml:space="preserve"> from the value predicted by the linear trend.</t>
        </r>
      </text>
    </comment>
    <comment ref="E49" authorId="1" shapeId="0" xr:uid="{00000000-0006-0000-0500-000020000000}">
      <text>
        <r>
          <rPr>
            <sz val="8"/>
            <color indexed="81"/>
            <rFont val="Tahoma"/>
            <family val="2"/>
          </rPr>
          <t xml:space="preserve">The number shown is the probability (expressed in percent units) that the true value of the test score at the given time point is </t>
        </r>
        <r>
          <rPr>
            <b/>
            <sz val="8"/>
            <color indexed="81"/>
            <rFont val="Tahoma"/>
            <family val="2"/>
          </rPr>
          <t>substantially less</t>
        </r>
        <r>
          <rPr>
            <sz val="8"/>
            <color indexed="81"/>
            <rFont val="Tahoma"/>
            <family val="2"/>
          </rPr>
          <t xml:space="preserve"> than the value predicted by the linear trend.</t>
        </r>
      </text>
    </comment>
    <comment ref="E50" authorId="1" shapeId="0" xr:uid="{00000000-0006-0000-0500-000021000000}">
      <text>
        <r>
          <rPr>
            <sz val="8"/>
            <color indexed="81"/>
            <rFont val="Tahoma"/>
            <family val="2"/>
          </rPr>
          <t xml:space="preserve">Changes that are </t>
        </r>
        <r>
          <rPr>
            <b/>
            <sz val="8"/>
            <color indexed="81"/>
            <rFont val="Tahoma"/>
            <family val="2"/>
          </rPr>
          <t>unclear—</t>
        </r>
        <r>
          <rPr>
            <sz val="8"/>
            <color indexed="81"/>
            <rFont val="Tahoma"/>
            <family val="2"/>
          </rPr>
          <t xml:space="preserve">that is, the chances indicate that the true change could be a substantial increase and a substantial decrease—are indicated with </t>
        </r>
        <r>
          <rPr>
            <b/>
            <sz val="8"/>
            <color indexed="81"/>
            <rFont val="Tahoma"/>
            <family val="2"/>
          </rPr>
          <t>?</t>
        </r>
        <r>
          <rPr>
            <sz val="8"/>
            <color indexed="81"/>
            <rFont val="Tahoma"/>
            <family val="2"/>
          </rPr>
          <t xml:space="preserve"> (equivalent to </t>
        </r>
        <r>
          <rPr>
            <b/>
            <sz val="8"/>
            <color indexed="81"/>
            <rFont val="Symbol"/>
            <family val="1"/>
            <charset val="2"/>
          </rPr>
          <t>­¯</t>
        </r>
        <r>
          <rPr>
            <sz val="8"/>
            <color indexed="81"/>
            <rFont val="Tahoma"/>
            <family val="2"/>
          </rPr>
          <t xml:space="preserve">).
Changes are otherwise indicated with </t>
        </r>
        <r>
          <rPr>
            <b/>
            <sz val="8"/>
            <color indexed="81"/>
            <rFont val="Symbol"/>
            <family val="1"/>
            <charset val="2"/>
          </rPr>
          <t xml:space="preserve">« </t>
        </r>
        <r>
          <rPr>
            <sz val="8"/>
            <color indexed="81"/>
            <rFont val="Tahoma"/>
            <family val="2"/>
          </rPr>
          <t xml:space="preserve">and/or </t>
        </r>
        <r>
          <rPr>
            <b/>
            <sz val="8"/>
            <color indexed="81"/>
            <rFont val="Symbol"/>
            <family val="1"/>
            <charset val="2"/>
          </rPr>
          <t>­</t>
        </r>
        <r>
          <rPr>
            <sz val="8"/>
            <color indexed="81"/>
            <rFont val="Symbol"/>
            <family val="1"/>
            <charset val="2"/>
          </rPr>
          <t xml:space="preserve"> </t>
        </r>
        <r>
          <rPr>
            <sz val="8"/>
            <color indexed="81"/>
            <rFont val="Tahoma"/>
            <family val="2"/>
          </rPr>
          <t>and/or</t>
        </r>
        <r>
          <rPr>
            <sz val="8"/>
            <color indexed="81"/>
            <rFont val="Symbol"/>
            <family val="1"/>
            <charset val="2"/>
          </rPr>
          <t xml:space="preserve"> </t>
        </r>
        <r>
          <rPr>
            <b/>
            <sz val="8"/>
            <color indexed="81"/>
            <rFont val="Symbol"/>
            <family val="1"/>
            <charset val="2"/>
          </rPr>
          <t>¯</t>
        </r>
        <r>
          <rPr>
            <sz val="8"/>
            <color indexed="81"/>
            <rFont val="Tahoma"/>
            <family val="2"/>
          </rPr>
          <t xml:space="preserve"> to show that they could be trivial and/or a substantial increase and/or a substantial decrease.
Changes that are </t>
        </r>
        <r>
          <rPr>
            <i/>
            <sz val="8"/>
            <color indexed="81"/>
            <rFont val="Tahoma"/>
            <family val="2"/>
          </rPr>
          <t>very likely</t>
        </r>
        <r>
          <rPr>
            <sz val="8"/>
            <color indexed="81"/>
            <rFont val="Tahoma"/>
            <family val="2"/>
          </rPr>
          <t xml:space="preserve"> trivial or substantial are indicated with an asterisk (</t>
        </r>
        <r>
          <rPr>
            <sz val="8"/>
            <color indexed="81"/>
            <rFont val="Symbol"/>
            <family val="1"/>
            <charset val="2"/>
          </rPr>
          <t>*</t>
        </r>
        <r>
          <rPr>
            <sz val="8"/>
            <color indexed="81"/>
            <rFont val="Tahoma"/>
            <family val="2"/>
          </rPr>
          <t>).</t>
        </r>
      </text>
    </comment>
    <comment ref="E51" authorId="1" shapeId="0" xr:uid="{00000000-0006-0000-0500-000022000000}">
      <text>
        <r>
          <rPr>
            <sz val="8"/>
            <color indexed="81"/>
            <rFont val="Tahoma"/>
            <family val="2"/>
          </rPr>
          <t xml:space="preserve">The number shown is the probability (expressed in percent units) that the true value of the test score at the given time point is </t>
        </r>
        <r>
          <rPr>
            <b/>
            <sz val="8"/>
            <color indexed="81"/>
            <rFont val="Tahoma"/>
            <family val="2"/>
          </rPr>
          <t xml:space="preserve">substantially greater </t>
        </r>
        <r>
          <rPr>
            <sz val="8"/>
            <color indexed="81"/>
            <rFont val="Tahoma"/>
            <family val="2"/>
          </rPr>
          <t>than the previous value.</t>
        </r>
      </text>
    </comment>
    <comment ref="E52" authorId="1" shapeId="0" xr:uid="{00000000-0006-0000-0500-000023000000}">
      <text>
        <r>
          <rPr>
            <sz val="8"/>
            <color indexed="81"/>
            <rFont val="Tahoma"/>
            <family val="2"/>
          </rPr>
          <t xml:space="preserve">The number shown is the probability (expressed in percent units) that the true value of the test score at the given time point is </t>
        </r>
        <r>
          <rPr>
            <b/>
            <sz val="8"/>
            <color indexed="81"/>
            <rFont val="Tahoma"/>
            <family val="2"/>
          </rPr>
          <t>not substantially different</t>
        </r>
        <r>
          <rPr>
            <sz val="8"/>
            <color indexed="81"/>
            <rFont val="Tahoma"/>
            <family val="2"/>
          </rPr>
          <t xml:space="preserve"> from the previous value.</t>
        </r>
      </text>
    </comment>
    <comment ref="E53" authorId="1" shapeId="0" xr:uid="{00000000-0006-0000-0500-000024000000}">
      <text>
        <r>
          <rPr>
            <sz val="8"/>
            <color indexed="81"/>
            <rFont val="Tahoma"/>
            <family val="2"/>
          </rPr>
          <t xml:space="preserve">The number shown is the probability (expressed in percent units) that the true value of the test score at the given time point is </t>
        </r>
        <r>
          <rPr>
            <b/>
            <sz val="8"/>
            <color indexed="81"/>
            <rFont val="Tahoma"/>
            <family val="2"/>
          </rPr>
          <t>substantially less</t>
        </r>
        <r>
          <rPr>
            <sz val="8"/>
            <color indexed="81"/>
            <rFont val="Tahoma"/>
            <family val="2"/>
          </rPr>
          <t xml:space="preserve"> than the previous value.</t>
        </r>
      </text>
    </comment>
    <comment ref="E54" authorId="1" shapeId="0" xr:uid="{00000000-0006-0000-0500-000025000000}">
      <text>
        <r>
          <rPr>
            <sz val="8"/>
            <color indexed="81"/>
            <rFont val="Tahoma"/>
            <family val="2"/>
          </rPr>
          <t xml:space="preserve">Changes that are </t>
        </r>
        <r>
          <rPr>
            <b/>
            <sz val="8"/>
            <color indexed="81"/>
            <rFont val="Tahoma"/>
            <family val="2"/>
          </rPr>
          <t>unclear—</t>
        </r>
        <r>
          <rPr>
            <sz val="8"/>
            <color indexed="81"/>
            <rFont val="Tahoma"/>
            <family val="2"/>
          </rPr>
          <t xml:space="preserve">that is, the chances indicate that the true change could be a substantial increase and a substantial decrease—are indicated with </t>
        </r>
        <r>
          <rPr>
            <b/>
            <sz val="8"/>
            <color indexed="81"/>
            <rFont val="Tahoma"/>
            <family val="2"/>
          </rPr>
          <t>?</t>
        </r>
        <r>
          <rPr>
            <sz val="8"/>
            <color indexed="81"/>
            <rFont val="Tahoma"/>
            <family val="2"/>
          </rPr>
          <t xml:space="preserve"> (equivalent to </t>
        </r>
        <r>
          <rPr>
            <b/>
            <sz val="8"/>
            <color indexed="81"/>
            <rFont val="Symbol"/>
            <family val="1"/>
            <charset val="2"/>
          </rPr>
          <t>­¯</t>
        </r>
        <r>
          <rPr>
            <sz val="8"/>
            <color indexed="81"/>
            <rFont val="Tahoma"/>
            <family val="2"/>
          </rPr>
          <t xml:space="preserve">).
Changes are otherwise indicated with </t>
        </r>
        <r>
          <rPr>
            <b/>
            <sz val="8"/>
            <color indexed="81"/>
            <rFont val="Symbol"/>
            <family val="1"/>
            <charset val="2"/>
          </rPr>
          <t xml:space="preserve">« </t>
        </r>
        <r>
          <rPr>
            <sz val="8"/>
            <color indexed="81"/>
            <rFont val="Tahoma"/>
            <family val="2"/>
          </rPr>
          <t xml:space="preserve">and/or </t>
        </r>
        <r>
          <rPr>
            <b/>
            <sz val="8"/>
            <color indexed="81"/>
            <rFont val="Symbol"/>
            <family val="1"/>
            <charset val="2"/>
          </rPr>
          <t>­</t>
        </r>
        <r>
          <rPr>
            <sz val="8"/>
            <color indexed="81"/>
            <rFont val="Symbol"/>
            <family val="1"/>
            <charset val="2"/>
          </rPr>
          <t xml:space="preserve"> </t>
        </r>
        <r>
          <rPr>
            <sz val="8"/>
            <color indexed="81"/>
            <rFont val="Tahoma"/>
            <family val="2"/>
          </rPr>
          <t>and/or</t>
        </r>
        <r>
          <rPr>
            <sz val="8"/>
            <color indexed="81"/>
            <rFont val="Symbol"/>
            <family val="1"/>
            <charset val="2"/>
          </rPr>
          <t xml:space="preserve"> </t>
        </r>
        <r>
          <rPr>
            <b/>
            <sz val="8"/>
            <color indexed="81"/>
            <rFont val="Symbol"/>
            <family val="1"/>
            <charset val="2"/>
          </rPr>
          <t>¯</t>
        </r>
        <r>
          <rPr>
            <sz val="8"/>
            <color indexed="81"/>
            <rFont val="Tahoma"/>
            <family val="2"/>
          </rPr>
          <t xml:space="preserve"> to show that they could be trivial and/or a substantial increase and/or a substantial decrease.
Changes that are </t>
        </r>
        <r>
          <rPr>
            <i/>
            <sz val="8"/>
            <color indexed="81"/>
            <rFont val="Tahoma"/>
            <family val="2"/>
          </rPr>
          <t>very likely</t>
        </r>
        <r>
          <rPr>
            <sz val="8"/>
            <color indexed="81"/>
            <rFont val="Tahoma"/>
            <family val="2"/>
          </rPr>
          <t xml:space="preserve"> trivial or substantial are indicated with an asterisk (</t>
        </r>
        <r>
          <rPr>
            <sz val="8"/>
            <color indexed="81"/>
            <rFont val="Symbol"/>
            <family val="1"/>
            <charset val="2"/>
          </rPr>
          <t>*</t>
        </r>
        <r>
          <rPr>
            <sz val="8"/>
            <color indexed="81"/>
            <rFont val="Tahoma"/>
            <family val="2"/>
          </rPr>
          <t>).</t>
        </r>
      </text>
    </comment>
    <comment ref="D57" authorId="1" shapeId="0" xr:uid="{00000000-0006-0000-0500-000026000000}">
      <text>
        <r>
          <rPr>
            <sz val="8"/>
            <color indexed="81"/>
            <rFont val="Tahoma"/>
            <family val="2"/>
          </rPr>
          <t xml:space="preserve">The number shown is the probability (expressed in percent units) that the true value of the trend is </t>
        </r>
        <r>
          <rPr>
            <b/>
            <sz val="8"/>
            <color indexed="81"/>
            <rFont val="Tahoma"/>
            <family val="2"/>
          </rPr>
          <t>more positive than the target trend expressed as a positive value</t>
        </r>
        <r>
          <rPr>
            <sz val="8"/>
            <color indexed="81"/>
            <rFont val="Tahoma"/>
            <family val="2"/>
          </rPr>
          <t>.</t>
        </r>
      </text>
    </comment>
    <comment ref="D58" authorId="1" shapeId="0" xr:uid="{00000000-0006-0000-0500-000027000000}">
      <text>
        <r>
          <rPr>
            <sz val="8"/>
            <color indexed="81"/>
            <rFont val="Tahoma"/>
            <family val="2"/>
          </rPr>
          <t xml:space="preserve">The number shown is the probability (expressed in percent units) that the true value of the trend is </t>
        </r>
        <r>
          <rPr>
            <b/>
            <sz val="8"/>
            <color indexed="81"/>
            <rFont val="Tahoma"/>
            <family val="2"/>
          </rPr>
          <t>between the positive and negative values of the target trend.</t>
        </r>
      </text>
    </comment>
    <comment ref="D59" authorId="1" shapeId="0" xr:uid="{00000000-0006-0000-0500-000028000000}">
      <text>
        <r>
          <rPr>
            <sz val="8"/>
            <color indexed="81"/>
            <rFont val="Tahoma"/>
            <family val="2"/>
          </rPr>
          <t xml:space="preserve">The number shown is the probability (expressed in percent units) that the true value of the trend is </t>
        </r>
        <r>
          <rPr>
            <b/>
            <sz val="8"/>
            <color indexed="81"/>
            <rFont val="Tahoma"/>
            <family val="2"/>
          </rPr>
          <t>more negative than the target trend expressed as a negative value</t>
        </r>
        <r>
          <rPr>
            <sz val="8"/>
            <color indexed="81"/>
            <rFont val="Tahoma"/>
            <family val="2"/>
          </rPr>
          <t>.</t>
        </r>
      </text>
    </comment>
    <comment ref="D60" authorId="1" shapeId="0" xr:uid="{00000000-0006-0000-0500-000029000000}">
      <text>
        <r>
          <rPr>
            <sz val="8"/>
            <color indexed="81"/>
            <rFont val="Tahoma"/>
            <family val="2"/>
          </rPr>
          <t xml:space="preserve">A trend that is </t>
        </r>
        <r>
          <rPr>
            <b/>
            <sz val="8"/>
            <color indexed="81"/>
            <rFont val="Tahoma"/>
            <family val="2"/>
          </rPr>
          <t>unclear—</t>
        </r>
        <r>
          <rPr>
            <sz val="8"/>
            <color indexed="81"/>
            <rFont val="Tahoma"/>
            <family val="2"/>
          </rPr>
          <t xml:space="preserve">that is, the chances indicate that the true change "could" be more than the positive value of the target trend and less than the negative value of the target trend—is indicated with </t>
        </r>
        <r>
          <rPr>
            <b/>
            <sz val="8"/>
            <color indexed="81"/>
            <rFont val="Tahoma"/>
            <family val="2"/>
          </rPr>
          <t>?</t>
        </r>
        <r>
          <rPr>
            <sz val="8"/>
            <color indexed="81"/>
            <rFont val="Tahoma"/>
            <family val="2"/>
          </rPr>
          <t xml:space="preserve"> (equivalent to </t>
        </r>
        <r>
          <rPr>
            <b/>
            <sz val="8"/>
            <color indexed="81"/>
            <rFont val="Symbol"/>
            <family val="1"/>
            <charset val="2"/>
          </rPr>
          <t>­¯</t>
        </r>
        <r>
          <rPr>
            <sz val="8"/>
            <color indexed="81"/>
            <rFont val="Tahoma"/>
            <family val="2"/>
          </rPr>
          <t xml:space="preserve">).
The trend is otherwise indicated with </t>
        </r>
        <r>
          <rPr>
            <b/>
            <sz val="8"/>
            <color indexed="81"/>
            <rFont val="Symbol"/>
            <family val="1"/>
            <charset val="2"/>
          </rPr>
          <t>«</t>
        </r>
        <r>
          <rPr>
            <sz val="8"/>
            <color indexed="81"/>
            <rFont val="Symbol"/>
            <family val="1"/>
            <charset val="2"/>
          </rPr>
          <t xml:space="preserve">, </t>
        </r>
        <r>
          <rPr>
            <b/>
            <sz val="8"/>
            <color indexed="81"/>
            <rFont val="Symbol"/>
            <family val="1"/>
            <charset val="2"/>
          </rPr>
          <t>­</t>
        </r>
        <r>
          <rPr>
            <sz val="8"/>
            <color indexed="81"/>
            <rFont val="Symbol"/>
            <family val="1"/>
            <charset val="2"/>
          </rPr>
          <t xml:space="preserve">, </t>
        </r>
        <r>
          <rPr>
            <sz val="8"/>
            <color indexed="81"/>
            <rFont val="Tahoma"/>
            <family val="2"/>
          </rPr>
          <t>and/or</t>
        </r>
        <r>
          <rPr>
            <sz val="8"/>
            <color indexed="81"/>
            <rFont val="Symbol"/>
            <family val="1"/>
            <charset val="2"/>
          </rPr>
          <t xml:space="preserve"> </t>
        </r>
        <r>
          <rPr>
            <b/>
            <sz val="8"/>
            <color indexed="81"/>
            <rFont val="Symbol"/>
            <family val="1"/>
            <charset val="2"/>
          </rPr>
          <t>¯</t>
        </r>
        <r>
          <rPr>
            <sz val="8"/>
            <color indexed="81"/>
            <rFont val="Tahoma"/>
            <family val="2"/>
          </rPr>
          <t xml:space="preserve"> to show that it could be within the positive and negative values of the target trend, greater than the positive value, and/or less than the negative value respectively.
A trend that is </t>
        </r>
        <r>
          <rPr>
            <i/>
            <sz val="8"/>
            <color indexed="81"/>
            <rFont val="Tahoma"/>
            <family val="2"/>
          </rPr>
          <t>very likely</t>
        </r>
        <r>
          <rPr>
            <sz val="8"/>
            <color indexed="81"/>
            <rFont val="Tahoma"/>
            <family val="2"/>
          </rPr>
          <t xml:space="preserve"> is indicated with an asterisk (</t>
        </r>
        <r>
          <rPr>
            <sz val="8"/>
            <color indexed="81"/>
            <rFont val="Symbol"/>
            <family val="1"/>
            <charset val="2"/>
          </rPr>
          <t>*</t>
        </r>
        <r>
          <rPr>
            <sz val="8"/>
            <color indexed="81"/>
            <rFont val="Tahoma"/>
            <family val="2"/>
          </rPr>
          <t>).</t>
        </r>
      </text>
    </comment>
    <comment ref="D85" authorId="0" shapeId="0" xr:uid="{00000000-0006-0000-0500-00002A000000}">
      <text>
        <r>
          <rPr>
            <sz val="9"/>
            <color indexed="81"/>
            <rFont val="Tahoma"/>
            <family val="2"/>
          </rPr>
          <t>The usual SE of the mean, since the errors in the observed are independent.</t>
        </r>
      </text>
    </comment>
    <comment ref="D86" authorId="0" shapeId="0" xr:uid="{00000000-0006-0000-0500-00002B000000}">
      <text>
        <r>
          <rPr>
            <sz val="9"/>
            <color indexed="81"/>
            <rFont val="Tahoma"/>
            <family val="2"/>
          </rPr>
          <t>Error of the mean observed scores combined via variances with the mean error in the predicted scores. Mean error of the predicted is a mean of variances, not the standard error of the mean, since these errors are highly correlated.</t>
        </r>
      </text>
    </comment>
    <comment ref="D87" authorId="0" shapeId="0" xr:uid="{00000000-0006-0000-0500-00002C000000}">
      <text>
        <r>
          <rPr>
            <sz val="9"/>
            <color indexed="81"/>
            <rFont val="Tahoma"/>
            <family val="2"/>
          </rPr>
          <t>An approximation</t>
        </r>
      </text>
    </comment>
  </commentList>
</comments>
</file>

<file path=xl/sharedStrings.xml><?xml version="1.0" encoding="utf-8"?>
<sst xmlns="http://schemas.openxmlformats.org/spreadsheetml/2006/main" count="399" uniqueCount="244">
  <si>
    <t>Time</t>
  </si>
  <si>
    <t>Prediction error</t>
  </si>
  <si>
    <t>Time mean</t>
  </si>
  <si>
    <t>Time SD</t>
  </si>
  <si>
    <t>Time n</t>
  </si>
  <si>
    <t>or typical error (%)</t>
  </si>
  <si>
    <t>Trivial band +</t>
  </si>
  <si>
    <t>Trivial band -</t>
  </si>
  <si>
    <t>Inference</t>
  </si>
  <si>
    <t>Chosen times</t>
  </si>
  <si>
    <t>Chosen scores</t>
  </si>
  <si>
    <t>Predicted scores</t>
  </si>
  <si>
    <t>Min chosen time</t>
  </si>
  <si>
    <t>Max chosen time</t>
  </si>
  <si>
    <t>Typical error (raw)</t>
  </si>
  <si>
    <t>Typical error of observed</t>
  </si>
  <si>
    <t>DegFree prediction error</t>
  </si>
  <si>
    <t>Slope</t>
  </si>
  <si>
    <t>Intercept</t>
  </si>
  <si>
    <t>Typical error of the estimate</t>
  </si>
  <si>
    <t>Predicted  @ min time</t>
  </si>
  <si>
    <t>Predicted @ max time</t>
  </si>
  <si>
    <r>
      <t xml:space="preserve">Chances </t>
    </r>
    <r>
      <rPr>
        <sz val="11"/>
        <color theme="1"/>
        <rFont val="Symbol"/>
        <family val="1"/>
        <charset val="2"/>
      </rPr>
      <t>­ (%)</t>
    </r>
  </si>
  <si>
    <r>
      <t xml:space="preserve">Chances </t>
    </r>
    <r>
      <rPr>
        <sz val="11"/>
        <color theme="1"/>
        <rFont val="Symbol"/>
        <family val="1"/>
        <charset val="2"/>
      </rPr>
      <t>« (%)</t>
    </r>
  </si>
  <si>
    <r>
      <t xml:space="preserve">Chances </t>
    </r>
    <r>
      <rPr>
        <sz val="11"/>
        <color theme="1"/>
        <rFont val="Symbol"/>
        <family val="1"/>
        <charset val="2"/>
      </rPr>
      <t>¯ (%)</t>
    </r>
  </si>
  <si>
    <t>Changes from previous test</t>
  </si>
  <si>
    <t>Changes from  linear trend</t>
  </si>
  <si>
    <t>Right-click on the axes to select appropriate minimum values.</t>
  </si>
  <si>
    <t>per</t>
  </si>
  <si>
    <t>units of time</t>
  </si>
  <si>
    <t>Observed trend</t>
  </si>
  <si>
    <t>Standard error of slope</t>
  </si>
  <si>
    <t>Cells in dark grey contain formulae and may display guidance or error messages.</t>
  </si>
  <si>
    <t>Ignore these cells:</t>
  </si>
  <si>
    <r>
      <t>Hover cursor</t>
    </r>
    <r>
      <rPr>
        <sz val="10"/>
        <rFont val="Calibri"/>
        <family val="2"/>
      </rPr>
      <t xml:space="preserve"> for citation:</t>
    </r>
  </si>
  <si>
    <t>Degrees of freedom</t>
  </si>
  <si>
    <t>Linear trend and changes in an individual's measurements</t>
  </si>
  <si>
    <t>Bars are typical error of measurement or of the estimate.</t>
  </si>
  <si>
    <t xml:space="preserve">   typical uncertainty (standard error) in the predicted true value.</t>
  </si>
  <si>
    <t>Dashed lines on the graph show the smallest important change plus the</t>
  </si>
  <si>
    <t>To hide unwanted columns, highlight them, then right-click and select Hide.</t>
  </si>
  <si>
    <t xml:space="preserve">      </t>
  </si>
  <si>
    <t>Remove the "1"s from any that you don't want contributing to the trend.</t>
  </si>
  <si>
    <r>
      <rPr>
        <b/>
        <sz val="12"/>
        <color rgb="FFFF0000"/>
        <rFont val="Calibri"/>
        <family val="2"/>
        <scheme val="minor"/>
      </rPr>
      <t>SIMULATION</t>
    </r>
    <r>
      <rPr>
        <b/>
        <sz val="12"/>
        <color theme="1"/>
        <rFont val="Calibri"/>
        <family val="2"/>
        <scheme val="minor"/>
      </rPr>
      <t xml:space="preserve"> of a linear trend and changes in an individual's measurements</t>
    </r>
  </si>
  <si>
    <t>True starting score</t>
  </si>
  <si>
    <t>True trend (raw)</t>
  </si>
  <si>
    <t>or true trend (%)</t>
  </si>
  <si>
    <t>True extra change in the score (raw)</t>
  </si>
  <si>
    <r>
      <t xml:space="preserve">or smallest important </t>
    </r>
    <r>
      <rPr>
        <sz val="11"/>
        <color theme="1"/>
        <rFont val="Symbol"/>
        <family val="1"/>
        <charset val="2"/>
      </rPr>
      <t>D</t>
    </r>
    <r>
      <rPr>
        <sz val="11"/>
        <color theme="1"/>
        <rFont val="Calibri"/>
        <family val="2"/>
        <scheme val="minor"/>
      </rPr>
      <t xml:space="preserve"> (%)</t>
    </r>
  </si>
  <si>
    <t>The spreadsheet uses these true values to generate observed measurements similar to yours at various time points.</t>
  </si>
  <si>
    <r>
      <t xml:space="preserve">Get new measurements by clicking in a blank cell away from other cells, then hit </t>
    </r>
    <r>
      <rPr>
        <b/>
        <sz val="11"/>
        <color theme="1"/>
        <rFont val="Calibri"/>
        <family val="2"/>
        <scheme val="minor"/>
      </rPr>
      <t>Ctrl-D</t>
    </r>
    <r>
      <rPr>
        <sz val="11"/>
        <color theme="1"/>
        <rFont val="Calibri"/>
        <family val="2"/>
        <scheme val="minor"/>
      </rPr>
      <t xml:space="preserve"> (which "copies down", but thereby refreshes the randomly generated measurements).</t>
    </r>
  </si>
  <si>
    <t>Values beyond the regression line and falling outside the dashed lines</t>
  </si>
  <si>
    <t>Predicted score</t>
  </si>
  <si>
    <t>Data for averaging</t>
  </si>
  <si>
    <t>Degrees freedom</t>
  </si>
  <si>
    <t>Means</t>
  </si>
  <si>
    <t>Allowed scores</t>
  </si>
  <si>
    <t>Choose scores to average</t>
  </si>
  <si>
    <t>Average change from  linear trend</t>
  </si>
  <si>
    <t>Observed score</t>
  </si>
  <si>
    <t xml:space="preserve">   are approx. likely (&gt;~75% chance) to be substantially off the trend.</t>
  </si>
  <si>
    <r>
      <rPr>
        <b/>
        <sz val="11"/>
        <rFont val="Calibri"/>
        <family val="2"/>
      </rPr>
      <t xml:space="preserve">Do NOT </t>
    </r>
    <r>
      <rPr>
        <b/>
        <i/>
        <sz val="11"/>
        <rFont val="Calibri"/>
        <family val="2"/>
      </rPr>
      <t>cut</t>
    </r>
    <r>
      <rPr>
        <b/>
        <sz val="11"/>
        <rFont val="Calibri"/>
        <family val="2"/>
      </rPr>
      <t xml:space="preserve"> and paste</t>
    </r>
    <r>
      <rPr>
        <sz val="11"/>
        <rFont val="Calibri"/>
        <family val="2"/>
      </rPr>
      <t xml:space="preserve"> numbers in this spreadsheet; instead, </t>
    </r>
    <r>
      <rPr>
        <b/>
        <i/>
        <sz val="11"/>
        <rFont val="Calibri"/>
        <family val="2"/>
      </rPr>
      <t>copy</t>
    </r>
    <r>
      <rPr>
        <sz val="11"/>
        <rFont val="Calibri"/>
        <family val="2"/>
      </rPr>
      <t xml:space="preserve"> and paste.</t>
    </r>
  </si>
  <si>
    <t>The spreadsheet then estimates chances of substantial and trivial changes from the trend, and makes inferences about the changes.</t>
  </si>
  <si>
    <r>
      <t xml:space="preserve">    The change is otherwise clear and marked with </t>
    </r>
    <r>
      <rPr>
        <sz val="11"/>
        <rFont val="Symbol"/>
        <family val="1"/>
        <charset val="2"/>
      </rPr>
      <t>«</t>
    </r>
    <r>
      <rPr>
        <sz val="11"/>
        <rFont val="Calibri"/>
        <family val="2"/>
      </rPr>
      <t xml:space="preserve"> and/or </t>
    </r>
    <r>
      <rPr>
        <sz val="11"/>
        <rFont val="Symbol"/>
        <family val="1"/>
        <charset val="2"/>
      </rPr>
      <t>­</t>
    </r>
    <r>
      <rPr>
        <sz val="11"/>
        <rFont val="Calibri"/>
        <family val="2"/>
      </rPr>
      <t xml:space="preserve"> or </t>
    </r>
    <r>
      <rPr>
        <sz val="11"/>
        <rFont val="Symbol"/>
        <family val="1"/>
        <charset val="2"/>
      </rPr>
      <t>¯</t>
    </r>
    <r>
      <rPr>
        <sz val="11"/>
        <rFont val="Calibri"/>
        <family val="2"/>
      </rPr>
      <t xml:space="preserve"> to indicate it could be trivial and/or a substantial increase or decrease. </t>
    </r>
    <r>
      <rPr>
        <sz val="11"/>
        <rFont val="Calibri"/>
        <family val="2"/>
        <scheme val="minor"/>
      </rPr>
      <t xml:space="preserve"> </t>
    </r>
  </si>
  <si>
    <r>
      <t xml:space="preserve">    The change is more decisive when it is</t>
    </r>
    <r>
      <rPr>
        <i/>
        <sz val="11"/>
        <rFont val="Calibri"/>
        <family val="2"/>
        <scheme val="minor"/>
      </rPr>
      <t xml:space="preserve"> very likely </t>
    </r>
    <r>
      <rPr>
        <sz val="11"/>
        <rFont val="Calibri"/>
        <family val="2"/>
        <scheme val="minor"/>
      </rPr>
      <t>trivial or substantial, indicated by an asterisk (*).</t>
    </r>
  </si>
  <si>
    <t>Lower down, the spreadsheet does similar calculations for each change from the previous value, and for the trend itself.</t>
  </si>
  <si>
    <r>
      <t xml:space="preserve">    the inference for a substantial true increase does not include </t>
    </r>
    <r>
      <rPr>
        <sz val="11"/>
        <rFont val="Symbol"/>
        <family val="1"/>
        <charset val="2"/>
      </rPr>
      <t>­,</t>
    </r>
    <r>
      <rPr>
        <sz val="11"/>
        <rFont val="Calibri"/>
        <family val="2"/>
      </rPr>
      <t xml:space="preserve"> and the inference for a substantial true decrease does not include </t>
    </r>
    <r>
      <rPr>
        <sz val="11"/>
        <rFont val="Symbol"/>
        <family val="1"/>
        <charset val="2"/>
      </rPr>
      <t>¯</t>
    </r>
    <r>
      <rPr>
        <sz val="11"/>
        <rFont val="Calibri"/>
        <family val="2"/>
      </rPr>
      <t>.</t>
    </r>
    <r>
      <rPr>
        <sz val="11"/>
        <rFont val="Calibri"/>
        <family val="2"/>
        <scheme val="minor"/>
      </rPr>
      <t xml:space="preserve"> </t>
    </r>
  </si>
  <si>
    <r>
      <t xml:space="preserve">An error occurs when the inference does not include the true change: that is, the inference for a zero or trivial true change does not include </t>
    </r>
    <r>
      <rPr>
        <sz val="11"/>
        <rFont val="Symbol"/>
        <family val="1"/>
        <charset val="2"/>
      </rPr>
      <t>«,</t>
    </r>
  </si>
  <si>
    <t xml:space="preserve">    then does similar calculations for the difference. Averaging values in this way reduces the error.</t>
  </si>
  <si>
    <t>A change with chances &lt;</t>
  </si>
  <si>
    <t>A change with chances &gt;</t>
  </si>
  <si>
    <r>
      <t xml:space="preserve">    Insert a value for the smallest important </t>
    </r>
    <r>
      <rPr>
        <sz val="11"/>
        <color theme="1"/>
        <rFont val="Symbol"/>
        <family val="1"/>
        <charset val="2"/>
      </rPr>
      <t>D</t>
    </r>
    <r>
      <rPr>
        <sz val="11"/>
        <color theme="1"/>
        <rFont val="Calibri"/>
        <family val="2"/>
        <scheme val="minor"/>
      </rPr>
      <t xml:space="preserve"> (change) in the test score.</t>
    </r>
  </si>
  <si>
    <t xml:space="preserve">    Insert enough extra columns for the forthcoming period of monitoring.</t>
  </si>
  <si>
    <t xml:space="preserve">    For any other individuals, copy this entire spreadsheet to new tabs, and name the tabs accordingly.</t>
  </si>
  <si>
    <t>It then performs probabilistic inferences about the following changes in the individual:</t>
  </si>
  <si>
    <t xml:space="preserve">    For your first individual, replace the times and test scores with your numbers. </t>
  </si>
  <si>
    <t xml:space="preserve">    Right-click on the axes of the graph and set appropriate minimum values.</t>
  </si>
  <si>
    <t>Test scores</t>
  </si>
  <si>
    <t>Choose scores for trend line</t>
  </si>
  <si>
    <t>Now choose scores to fit a linear trend line over a period when the individual is expected to show a gradual improvement (hopefully!).</t>
  </si>
  <si>
    <r>
      <t xml:space="preserve">    An unclear change could be a substantial increase (</t>
    </r>
    <r>
      <rPr>
        <sz val="11"/>
        <rFont val="Symbol"/>
        <family val="1"/>
        <charset val="2"/>
      </rPr>
      <t>­</t>
    </r>
    <r>
      <rPr>
        <sz val="11"/>
        <rFont val="Calibri"/>
        <family val="2"/>
        <scheme val="minor"/>
      </rPr>
      <t>) and decrease (</t>
    </r>
    <r>
      <rPr>
        <sz val="11"/>
        <rFont val="Symbol"/>
        <family val="1"/>
        <charset val="2"/>
      </rPr>
      <t>¯</t>
    </r>
    <r>
      <rPr>
        <sz val="11"/>
        <rFont val="Calibri"/>
        <family val="2"/>
      </rPr>
      <t>)—that is,</t>
    </r>
    <r>
      <rPr>
        <sz val="11"/>
        <rFont val="Calibri"/>
        <family val="2"/>
        <scheme val="minor"/>
      </rPr>
      <t xml:space="preserve"> chances of both are greater than </t>
    </r>
    <r>
      <rPr>
        <i/>
        <sz val="11"/>
        <rFont val="Calibri"/>
        <family val="2"/>
        <scheme val="minor"/>
      </rPr>
      <t>very unlikely</t>
    </r>
    <r>
      <rPr>
        <sz val="11"/>
        <rFont val="Calibri"/>
        <family val="2"/>
      </rPr>
      <t xml:space="preserve">—and </t>
    </r>
    <r>
      <rPr>
        <sz val="11"/>
        <rFont val="Calibri"/>
        <family val="2"/>
        <scheme val="minor"/>
      </rPr>
      <t xml:space="preserve">is marked with </t>
    </r>
    <r>
      <rPr>
        <b/>
        <sz val="11"/>
        <rFont val="Calibri"/>
        <family val="2"/>
        <scheme val="minor"/>
      </rPr>
      <t>?</t>
    </r>
    <r>
      <rPr>
        <sz val="11"/>
        <rFont val="Calibri"/>
        <family val="2"/>
        <scheme val="minor"/>
      </rPr>
      <t>.</t>
    </r>
  </si>
  <si>
    <t>copy and insert or delete entire colums</t>
  </si>
  <si>
    <t>to the left of here.</t>
  </si>
  <si>
    <t>True typical error (raw)</t>
  </si>
  <si>
    <t>Target trend (raw)</t>
  </si>
  <si>
    <t>or target trend (%)</t>
  </si>
  <si>
    <r>
      <t xml:space="preserve">Now specify values for the smallest important </t>
    </r>
    <r>
      <rPr>
        <sz val="11"/>
        <color theme="1"/>
        <rFont val="Symbol"/>
        <family val="1"/>
        <charset val="2"/>
      </rPr>
      <t>D</t>
    </r>
    <r>
      <rPr>
        <sz val="9.35"/>
        <color theme="1"/>
        <rFont val="Calibri"/>
        <family val="2"/>
      </rPr>
      <t xml:space="preserve"> (</t>
    </r>
    <r>
      <rPr>
        <sz val="11"/>
        <color theme="1"/>
        <rFont val="Calibri"/>
        <family val="2"/>
        <scheme val="minor"/>
      </rPr>
      <t>change) and a target trend.</t>
    </r>
  </si>
  <si>
    <r>
      <t>Target trend (raw)</t>
    </r>
    <r>
      <rPr>
        <sz val="11"/>
        <color rgb="FFFF0000"/>
        <rFont val="Calibri"/>
        <family val="2"/>
        <scheme val="minor"/>
      </rPr>
      <t xml:space="preserve"> </t>
    </r>
    <r>
      <rPr>
        <b/>
        <sz val="11"/>
        <color rgb="FFFF0000"/>
        <rFont val="Calibri"/>
        <family val="2"/>
        <scheme val="minor"/>
      </rPr>
      <t>±</t>
    </r>
  </si>
  <si>
    <r>
      <t xml:space="preserve">    An unclear change could be a substantial increase (</t>
    </r>
    <r>
      <rPr>
        <sz val="11"/>
        <rFont val="Symbol"/>
        <family val="1"/>
        <charset val="2"/>
      </rPr>
      <t>­</t>
    </r>
    <r>
      <rPr>
        <sz val="11"/>
        <rFont val="Calibri"/>
        <family val="2"/>
        <scheme val="minor"/>
      </rPr>
      <t>) and decrease (</t>
    </r>
    <r>
      <rPr>
        <sz val="11"/>
        <rFont val="Symbol"/>
        <family val="1"/>
        <charset val="2"/>
      </rPr>
      <t>¯</t>
    </r>
    <r>
      <rPr>
        <sz val="11"/>
        <rFont val="Calibri"/>
        <family val="2"/>
      </rPr>
      <t>)—that is,</t>
    </r>
    <r>
      <rPr>
        <sz val="11"/>
        <rFont val="Calibri"/>
        <family val="2"/>
        <scheme val="minor"/>
      </rPr>
      <t xml:space="preserve"> chances of both are greater than </t>
    </r>
    <r>
      <rPr>
        <i/>
        <sz val="11"/>
        <rFont val="Calibri"/>
        <family val="2"/>
        <scheme val="minor"/>
      </rPr>
      <t>very unlikely—</t>
    </r>
    <r>
      <rPr>
        <sz val="11"/>
        <rFont val="Calibri"/>
        <family val="2"/>
      </rPr>
      <t xml:space="preserve">and </t>
    </r>
    <r>
      <rPr>
        <sz val="11"/>
        <rFont val="Calibri"/>
        <family val="2"/>
        <scheme val="minor"/>
      </rPr>
      <t xml:space="preserve">is marked with </t>
    </r>
    <r>
      <rPr>
        <b/>
        <sz val="11"/>
        <rFont val="Calibri"/>
        <family val="2"/>
        <scheme val="minor"/>
      </rPr>
      <t>?</t>
    </r>
    <r>
      <rPr>
        <sz val="11"/>
        <rFont val="Calibri"/>
        <family val="2"/>
        <scheme val="minor"/>
      </rPr>
      <t>.</t>
    </r>
  </si>
  <si>
    <r>
      <t xml:space="preserve">Smallest important +ive </t>
    </r>
    <r>
      <rPr>
        <sz val="11"/>
        <color theme="1"/>
        <rFont val="Symbol"/>
        <family val="1"/>
        <charset val="2"/>
      </rPr>
      <t>D</t>
    </r>
    <r>
      <rPr>
        <sz val="11"/>
        <color theme="1"/>
        <rFont val="Calibri"/>
        <family val="2"/>
        <scheme val="minor"/>
      </rPr>
      <t xml:space="preserve"> (raw)</t>
    </r>
  </si>
  <si>
    <r>
      <t xml:space="preserve">or smallest important +ive </t>
    </r>
    <r>
      <rPr>
        <sz val="11"/>
        <color theme="1"/>
        <rFont val="Symbol"/>
        <family val="1"/>
        <charset val="2"/>
      </rPr>
      <t>D</t>
    </r>
    <r>
      <rPr>
        <sz val="11"/>
        <color theme="1"/>
        <rFont val="Calibri"/>
        <family val="2"/>
        <scheme val="minor"/>
      </rPr>
      <t xml:space="preserve"> (%)</t>
    </r>
  </si>
  <si>
    <r>
      <t xml:space="preserve">or delete entire columns to the right of here </t>
    </r>
    <r>
      <rPr>
        <sz val="11"/>
        <color theme="1"/>
        <rFont val="Symbol"/>
        <family val="1"/>
        <charset val="2"/>
      </rPr>
      <t>®</t>
    </r>
  </si>
  <si>
    <t>For more or less time points, copy and insert</t>
  </si>
  <si>
    <r>
      <t xml:space="preserve">chance of </t>
    </r>
    <r>
      <rPr>
        <sz val="11"/>
        <color theme="1"/>
        <rFont val="Symbol"/>
        <family val="1"/>
        <charset val="2"/>
      </rPr>
      <t>­*</t>
    </r>
  </si>
  <si>
    <r>
      <t xml:space="preserve">chance of </t>
    </r>
    <r>
      <rPr>
        <sz val="11"/>
        <color theme="1"/>
        <rFont val="Symbol"/>
        <family val="1"/>
        <charset val="2"/>
      </rPr>
      <t>¯</t>
    </r>
    <r>
      <rPr>
        <sz val="11"/>
        <color theme="1"/>
        <rFont val="Calibri"/>
        <family val="2"/>
      </rPr>
      <t>*</t>
    </r>
  </si>
  <si>
    <t>chance of ? (unclear)</t>
  </si>
  <si>
    <t>Error mean obsvd</t>
  </si>
  <si>
    <t>Data for chances of seeing various outcomes</t>
  </si>
  <si>
    <r>
      <t xml:space="preserve">True </t>
    </r>
    <r>
      <rPr>
        <sz val="11"/>
        <color theme="1"/>
        <rFont val="Symbol"/>
        <family val="1"/>
        <charset val="2"/>
      </rPr>
      <t>D</t>
    </r>
    <r>
      <rPr>
        <sz val="11"/>
        <color theme="1"/>
        <rFont val="Calibri"/>
        <family val="2"/>
        <scheme val="minor"/>
      </rPr>
      <t xml:space="preserve"> (raw)</t>
    </r>
  </si>
  <si>
    <t>Outcomes for change from previous:</t>
  </si>
  <si>
    <r>
      <t xml:space="preserve">Mean to use if true </t>
    </r>
    <r>
      <rPr>
        <sz val="11"/>
        <color theme="1"/>
        <rFont val="Symbol"/>
        <family val="1"/>
        <charset val="2"/>
      </rPr>
      <t>D</t>
    </r>
    <r>
      <rPr>
        <sz val="11"/>
        <color theme="1"/>
        <rFont val="Calibri"/>
        <family val="2"/>
        <scheme val="minor"/>
      </rPr>
      <t xml:space="preserve"> in % </t>
    </r>
  </si>
  <si>
    <t>Outcomes for mean change from trend:</t>
  </si>
  <si>
    <t>Error</t>
  </si>
  <si>
    <r>
      <t xml:space="preserve">chance of any ? and </t>
    </r>
    <r>
      <rPr>
        <sz val="11"/>
        <color theme="1"/>
        <rFont val="Symbol"/>
        <family val="1"/>
        <charset val="2"/>
      </rPr>
      <t xml:space="preserve">­ </t>
    </r>
  </si>
  <si>
    <r>
      <t xml:space="preserve">chance of any ? and </t>
    </r>
    <r>
      <rPr>
        <sz val="11"/>
        <color theme="1"/>
        <rFont val="Symbol"/>
        <family val="1"/>
        <charset val="2"/>
      </rPr>
      <t>¯</t>
    </r>
  </si>
  <si>
    <t>Chances (%) of seeing various outcomes</t>
  </si>
  <si>
    <t>Now specify time points beyond those used for the trend. The spreadsheet averages the observed and predicted values for these points,</t>
  </si>
  <si>
    <t>Specify zero true extra changes and zero true trend to see how often you get changes that aren't real (false-positive, or Type-1 errors).</t>
  </si>
  <si>
    <t>Specify substantial true extra changes and/or substantial true trend to see how often you don't get them (false-negative or Type-2 errors).</t>
  </si>
  <si>
    <t>typical errors + smallest important</t>
  </si>
  <si>
    <r>
      <t xml:space="preserve">...when the true </t>
    </r>
    <r>
      <rPr>
        <sz val="11"/>
        <color theme="1"/>
        <rFont val="Symbol"/>
        <family val="1"/>
        <charset val="2"/>
      </rPr>
      <t>D</t>
    </r>
    <r>
      <rPr>
        <sz val="11"/>
        <color theme="1"/>
        <rFont val="Calibri"/>
        <family val="2"/>
        <scheme val="minor"/>
      </rPr>
      <t xml:space="preserve"> (raw) is</t>
    </r>
  </si>
  <si>
    <r>
      <t xml:space="preserve">...or when the true </t>
    </r>
    <r>
      <rPr>
        <sz val="11"/>
        <color theme="1"/>
        <rFont val="Symbol"/>
        <family val="1"/>
        <charset val="2"/>
      </rPr>
      <t>D</t>
    </r>
    <r>
      <rPr>
        <sz val="11"/>
        <color theme="1"/>
        <rFont val="Calibri"/>
        <family val="2"/>
        <scheme val="minor"/>
      </rPr>
      <t xml:space="preserve"> (%) is</t>
    </r>
  </si>
  <si>
    <t xml:space="preserve"> a previous test </t>
  </si>
  <si>
    <t xml:space="preserve"> ...for the change from </t>
  </si>
  <si>
    <t>A change with chances of</t>
  </si>
  <si>
    <r>
      <t xml:space="preserve">% is </t>
    </r>
    <r>
      <rPr>
        <i/>
        <sz val="11"/>
        <color theme="1"/>
        <rFont val="Calibri"/>
        <family val="2"/>
        <scheme val="minor"/>
      </rPr>
      <t>very likely</t>
    </r>
    <r>
      <rPr>
        <sz val="11"/>
        <color theme="1"/>
        <rFont val="Calibri"/>
        <family val="2"/>
        <scheme val="minor"/>
      </rPr>
      <t xml:space="preserve"> or </t>
    </r>
    <r>
      <rPr>
        <i/>
        <sz val="11"/>
        <color theme="1"/>
        <rFont val="Calibri"/>
        <family val="2"/>
        <scheme val="minor"/>
      </rPr>
      <t xml:space="preserve">definite </t>
    </r>
    <r>
      <rPr>
        <sz val="11"/>
        <color theme="1"/>
        <rFont val="Calibri"/>
        <family val="2"/>
        <scheme val="minor"/>
      </rPr>
      <t xml:space="preserve">and is indicated with </t>
    </r>
    <r>
      <rPr>
        <b/>
        <sz val="11"/>
        <color theme="1"/>
        <rFont val="Symbol"/>
        <family val="1"/>
        <charset val="2"/>
      </rPr>
      <t>­</t>
    </r>
    <r>
      <rPr>
        <b/>
        <sz val="11"/>
        <color theme="1"/>
        <rFont val="Calibri"/>
        <family val="2"/>
        <scheme val="minor"/>
      </rPr>
      <t>*</t>
    </r>
    <r>
      <rPr>
        <sz val="11"/>
        <color theme="1"/>
        <rFont val="Calibri"/>
        <family val="2"/>
        <scheme val="minor"/>
      </rPr>
      <t>,</t>
    </r>
    <r>
      <rPr>
        <b/>
        <sz val="11"/>
        <color theme="1"/>
        <rFont val="Calibri"/>
        <family val="2"/>
        <scheme val="minor"/>
      </rPr>
      <t xml:space="preserve"> </t>
    </r>
    <r>
      <rPr>
        <b/>
        <sz val="11"/>
        <color theme="1"/>
        <rFont val="Symbol"/>
        <family val="1"/>
        <charset val="2"/>
      </rPr>
      <t>¯</t>
    </r>
    <r>
      <rPr>
        <b/>
        <sz val="11"/>
        <color theme="1"/>
        <rFont val="Calibri"/>
        <family val="2"/>
        <scheme val="minor"/>
      </rPr>
      <t>*</t>
    </r>
    <r>
      <rPr>
        <sz val="11"/>
        <color theme="1"/>
        <rFont val="Calibri"/>
        <family val="2"/>
        <scheme val="minor"/>
      </rPr>
      <t xml:space="preserve">, or </t>
    </r>
    <r>
      <rPr>
        <b/>
        <sz val="11"/>
        <color theme="1"/>
        <rFont val="Symbol"/>
        <family val="1"/>
        <charset val="2"/>
      </rPr>
      <t>«</t>
    </r>
    <r>
      <rPr>
        <b/>
        <sz val="11"/>
        <color theme="1"/>
        <rFont val="Calibri"/>
        <family val="2"/>
        <scheme val="minor"/>
      </rPr>
      <t>*</t>
    </r>
    <r>
      <rPr>
        <sz val="11"/>
        <color theme="1"/>
        <rFont val="Calibri"/>
        <family val="2"/>
        <scheme val="minor"/>
      </rPr>
      <t>.</t>
    </r>
  </si>
  <si>
    <r>
      <t xml:space="preserve">% is therefore </t>
    </r>
    <r>
      <rPr>
        <i/>
        <sz val="11"/>
        <color theme="1"/>
        <rFont val="Calibri"/>
        <family val="2"/>
        <scheme val="minor"/>
      </rPr>
      <t>very unlikely</t>
    </r>
    <r>
      <rPr>
        <sz val="11"/>
        <color theme="1"/>
        <rFont val="Calibri"/>
        <family val="2"/>
        <scheme val="minor"/>
      </rPr>
      <t xml:space="preserve"> and is not indicated</t>
    </r>
    <r>
      <rPr>
        <i/>
        <sz val="11"/>
        <color theme="1"/>
        <rFont val="Calibri"/>
        <family val="2"/>
        <scheme val="minor"/>
      </rPr>
      <t>.</t>
    </r>
  </si>
  <si>
    <r>
      <t xml:space="preserve">% is therefore </t>
    </r>
    <r>
      <rPr>
        <i/>
        <sz val="11"/>
        <color theme="1"/>
        <rFont val="Calibri"/>
        <family val="2"/>
        <scheme val="minor"/>
      </rPr>
      <t xml:space="preserve">possible </t>
    </r>
    <r>
      <rPr>
        <sz val="11"/>
        <color theme="1"/>
        <rFont val="Calibri"/>
        <family val="2"/>
        <scheme val="minor"/>
      </rPr>
      <t xml:space="preserve">and is indicated with </t>
    </r>
    <r>
      <rPr>
        <b/>
        <sz val="11"/>
        <color theme="1"/>
        <rFont val="Symbol"/>
        <family val="1"/>
        <charset val="2"/>
      </rPr>
      <t>­«</t>
    </r>
    <r>
      <rPr>
        <sz val="11"/>
        <color theme="1"/>
        <rFont val="Symbol"/>
        <family val="1"/>
        <charset val="2"/>
      </rPr>
      <t xml:space="preserve"> </t>
    </r>
    <r>
      <rPr>
        <sz val="11"/>
        <color theme="1"/>
        <rFont val="Calibri"/>
        <family val="2"/>
        <scheme val="minor"/>
      </rPr>
      <t>or</t>
    </r>
    <r>
      <rPr>
        <b/>
        <sz val="11"/>
        <color theme="1"/>
        <rFont val="Calibri"/>
        <family val="2"/>
        <scheme val="minor"/>
      </rPr>
      <t xml:space="preserve"> </t>
    </r>
    <r>
      <rPr>
        <b/>
        <sz val="11"/>
        <color theme="1"/>
        <rFont val="Symbol"/>
        <family val="1"/>
        <charset val="2"/>
      </rPr>
      <t>«¯</t>
    </r>
    <r>
      <rPr>
        <sz val="11"/>
        <color theme="1"/>
        <rFont val="Calibri"/>
        <family val="2"/>
        <scheme val="minor"/>
      </rPr>
      <t>.</t>
    </r>
  </si>
  <si>
    <r>
      <t xml:space="preserve">Chances of </t>
    </r>
    <r>
      <rPr>
        <b/>
        <sz val="11"/>
        <color theme="1"/>
        <rFont val="Symbol"/>
        <family val="1"/>
        <charset val="2"/>
      </rPr>
      <t>­*</t>
    </r>
  </si>
  <si>
    <r>
      <t xml:space="preserve">Chances of </t>
    </r>
    <r>
      <rPr>
        <b/>
        <sz val="11"/>
        <color theme="1"/>
        <rFont val="Symbol"/>
        <family val="1"/>
        <charset val="2"/>
      </rPr>
      <t>­«</t>
    </r>
    <r>
      <rPr>
        <sz val="11"/>
        <color theme="1"/>
        <rFont val="Calibri"/>
        <family val="2"/>
        <scheme val="minor"/>
      </rPr>
      <t xml:space="preserve"> </t>
    </r>
  </si>
  <si>
    <r>
      <t xml:space="preserve">Chances of </t>
    </r>
    <r>
      <rPr>
        <b/>
        <sz val="11"/>
        <color theme="1"/>
        <rFont val="Symbol"/>
        <family val="1"/>
        <charset val="2"/>
      </rPr>
      <t>«*</t>
    </r>
  </si>
  <si>
    <r>
      <t xml:space="preserve">Chances of </t>
    </r>
    <r>
      <rPr>
        <b/>
        <sz val="11"/>
        <color theme="1"/>
        <rFont val="Symbol"/>
        <family val="1"/>
        <charset val="2"/>
      </rPr>
      <t>«¯</t>
    </r>
  </si>
  <si>
    <r>
      <t xml:space="preserve">Chances of </t>
    </r>
    <r>
      <rPr>
        <b/>
        <sz val="11"/>
        <color theme="1"/>
        <rFont val="Symbol"/>
        <family val="1"/>
        <charset val="2"/>
      </rPr>
      <t>¯</t>
    </r>
    <r>
      <rPr>
        <b/>
        <sz val="11"/>
        <color theme="1"/>
        <rFont val="Calibri"/>
        <family val="2"/>
      </rPr>
      <t>*</t>
    </r>
  </si>
  <si>
    <r>
      <rPr>
        <b/>
        <sz val="11"/>
        <color theme="1"/>
        <rFont val="Symbol"/>
        <family val="1"/>
        <charset val="2"/>
      </rPr>
      <t>­*</t>
    </r>
    <r>
      <rPr>
        <sz val="11"/>
        <color theme="1"/>
        <rFont val="Calibri"/>
        <family val="2"/>
      </rPr>
      <t xml:space="preserve"> occurs when observed </t>
    </r>
    <r>
      <rPr>
        <sz val="11"/>
        <color theme="1"/>
        <rFont val="Symbol"/>
        <family val="1"/>
        <charset val="2"/>
      </rPr>
      <t xml:space="preserve">D </t>
    </r>
    <r>
      <rPr>
        <sz val="11"/>
        <color theme="1"/>
        <rFont val="Calibri"/>
        <family val="2"/>
      </rPr>
      <t>is &gt;</t>
    </r>
    <r>
      <rPr>
        <sz val="11"/>
        <color theme="1"/>
        <rFont val="Calibri"/>
        <family val="2"/>
        <scheme val="minor"/>
      </rPr>
      <t xml:space="preserve">  </t>
    </r>
  </si>
  <si>
    <r>
      <t xml:space="preserve">Chances of </t>
    </r>
    <r>
      <rPr>
        <b/>
        <sz val="11"/>
        <color theme="1"/>
        <rFont val="Calibri"/>
        <family val="2"/>
        <scheme val="minor"/>
      </rPr>
      <t>?</t>
    </r>
    <r>
      <rPr>
        <sz val="11"/>
        <color theme="1"/>
        <rFont val="Calibri"/>
        <family val="2"/>
        <scheme val="minor"/>
      </rPr>
      <t xml:space="preserve"> (unclear)</t>
    </r>
  </si>
  <si>
    <r>
      <t xml:space="preserve">   A change that is a possible substantial increase and a possible substantial decrease is </t>
    </r>
    <r>
      <rPr>
        <i/>
        <sz val="11"/>
        <color theme="1"/>
        <rFont val="Calibri"/>
        <family val="2"/>
        <scheme val="minor"/>
      </rPr>
      <t>unclear</t>
    </r>
    <r>
      <rPr>
        <sz val="11"/>
        <color theme="1"/>
        <rFont val="Calibri"/>
        <family val="2"/>
        <scheme val="minor"/>
      </rPr>
      <t xml:space="preserve"> and is indicated with </t>
    </r>
    <r>
      <rPr>
        <b/>
        <sz val="11"/>
        <color theme="1"/>
        <rFont val="Calibri"/>
        <family val="2"/>
        <scheme val="minor"/>
      </rPr>
      <t>?</t>
    </r>
    <r>
      <rPr>
        <sz val="11"/>
        <color theme="1"/>
        <rFont val="Calibri"/>
        <family val="2"/>
        <scheme val="minor"/>
      </rPr>
      <t>.</t>
    </r>
  </si>
  <si>
    <r>
      <t xml:space="preserve">% is </t>
    </r>
    <r>
      <rPr>
        <i/>
        <sz val="11"/>
        <color theme="1"/>
        <rFont val="Calibri"/>
        <family val="2"/>
        <scheme val="minor"/>
      </rPr>
      <t>very likely</t>
    </r>
    <r>
      <rPr>
        <sz val="11"/>
        <color theme="1"/>
        <rFont val="Calibri"/>
        <family val="2"/>
        <scheme val="minor"/>
      </rPr>
      <t xml:space="preserve"> or </t>
    </r>
    <r>
      <rPr>
        <i/>
        <sz val="11"/>
        <color theme="1"/>
        <rFont val="Calibri"/>
        <family val="2"/>
        <scheme val="minor"/>
      </rPr>
      <t xml:space="preserve">decisive </t>
    </r>
    <r>
      <rPr>
        <sz val="11"/>
        <color theme="1"/>
        <rFont val="Calibri"/>
        <family val="2"/>
        <scheme val="minor"/>
      </rPr>
      <t xml:space="preserve">and is indicated with </t>
    </r>
    <r>
      <rPr>
        <b/>
        <sz val="11"/>
        <color theme="1"/>
        <rFont val="Symbol"/>
        <family val="1"/>
        <charset val="2"/>
      </rPr>
      <t>­</t>
    </r>
    <r>
      <rPr>
        <b/>
        <sz val="11"/>
        <color theme="1"/>
        <rFont val="Calibri"/>
        <family val="2"/>
        <scheme val="minor"/>
      </rPr>
      <t>*</t>
    </r>
    <r>
      <rPr>
        <sz val="11"/>
        <color theme="1"/>
        <rFont val="Calibri"/>
        <family val="2"/>
        <scheme val="minor"/>
      </rPr>
      <t>,</t>
    </r>
    <r>
      <rPr>
        <b/>
        <sz val="11"/>
        <color theme="1"/>
        <rFont val="Calibri"/>
        <family val="2"/>
        <scheme val="minor"/>
      </rPr>
      <t xml:space="preserve"> </t>
    </r>
    <r>
      <rPr>
        <b/>
        <sz val="11"/>
        <color theme="1"/>
        <rFont val="Symbol"/>
        <family val="1"/>
        <charset val="2"/>
      </rPr>
      <t>¯</t>
    </r>
    <r>
      <rPr>
        <b/>
        <sz val="11"/>
        <color theme="1"/>
        <rFont val="Calibri"/>
        <family val="2"/>
        <scheme val="minor"/>
      </rPr>
      <t>*</t>
    </r>
    <r>
      <rPr>
        <sz val="11"/>
        <color theme="1"/>
        <rFont val="Calibri"/>
        <family val="2"/>
        <scheme val="minor"/>
      </rPr>
      <t xml:space="preserve">, or </t>
    </r>
    <r>
      <rPr>
        <b/>
        <sz val="11"/>
        <color theme="1"/>
        <rFont val="Symbol"/>
        <family val="1"/>
        <charset val="2"/>
      </rPr>
      <t>«</t>
    </r>
    <r>
      <rPr>
        <b/>
        <sz val="11"/>
        <color theme="1"/>
        <rFont val="Calibri"/>
        <family val="2"/>
        <scheme val="minor"/>
      </rPr>
      <t>*</t>
    </r>
    <r>
      <rPr>
        <sz val="11"/>
        <color theme="1"/>
        <rFont val="Calibri"/>
        <family val="2"/>
        <scheme val="minor"/>
      </rPr>
      <t>.</t>
    </r>
  </si>
  <si>
    <r>
      <t xml:space="preserve">Choose a value for chances of a true change that you will consider to be </t>
    </r>
    <r>
      <rPr>
        <i/>
        <sz val="11"/>
        <color theme="1"/>
        <rFont val="Calibri"/>
        <family val="2"/>
        <scheme val="minor"/>
      </rPr>
      <t>very likely</t>
    </r>
    <r>
      <rPr>
        <sz val="11"/>
        <color theme="1"/>
        <rFont val="Calibri"/>
        <family val="2"/>
        <scheme val="minor"/>
      </rPr>
      <t xml:space="preserve"> or </t>
    </r>
    <r>
      <rPr>
        <i/>
        <sz val="11"/>
        <color theme="1"/>
        <rFont val="Calibri"/>
        <family val="2"/>
        <scheme val="minor"/>
      </rPr>
      <t>decisive:</t>
    </r>
    <r>
      <rPr>
        <sz val="11"/>
        <color theme="1"/>
        <rFont val="Calibri"/>
        <family val="2"/>
        <scheme val="minor"/>
      </rPr>
      <t xml:space="preserve"> </t>
    </r>
  </si>
  <si>
    <r>
      <t xml:space="preserve">% is therefore </t>
    </r>
    <r>
      <rPr>
        <i/>
        <sz val="11"/>
        <color theme="1"/>
        <rFont val="Calibri"/>
        <family val="2"/>
        <scheme val="minor"/>
      </rPr>
      <t>very unlikely</t>
    </r>
    <r>
      <rPr>
        <sz val="11"/>
        <color theme="1"/>
        <rFont val="Calibri"/>
        <family val="2"/>
        <scheme val="minor"/>
      </rPr>
      <t xml:space="preserve"> or </t>
    </r>
    <r>
      <rPr>
        <i/>
        <sz val="11"/>
        <color theme="1"/>
        <rFont val="Calibri"/>
        <family val="2"/>
        <scheme val="minor"/>
      </rPr>
      <t>decisively not</t>
    </r>
    <r>
      <rPr>
        <sz val="11"/>
        <color theme="1"/>
        <rFont val="Calibri"/>
        <family val="2"/>
        <scheme val="minor"/>
      </rPr>
      <t xml:space="preserve"> and is not indicated</t>
    </r>
    <r>
      <rPr>
        <i/>
        <sz val="11"/>
        <color theme="1"/>
        <rFont val="Calibri"/>
        <family val="2"/>
        <scheme val="minor"/>
      </rPr>
      <t>.</t>
    </r>
  </si>
  <si>
    <r>
      <t xml:space="preserve">% is therefore </t>
    </r>
    <r>
      <rPr>
        <i/>
        <sz val="11"/>
        <color theme="1"/>
        <rFont val="Calibri"/>
        <family val="2"/>
        <scheme val="minor"/>
      </rPr>
      <t xml:space="preserve">possible </t>
    </r>
    <r>
      <rPr>
        <sz val="11"/>
        <color theme="1"/>
        <rFont val="Calibri"/>
        <family val="2"/>
        <scheme val="minor"/>
      </rPr>
      <t xml:space="preserve">and is indicated with </t>
    </r>
    <r>
      <rPr>
        <b/>
        <sz val="11"/>
        <color theme="1"/>
        <rFont val="Symbol"/>
        <family val="1"/>
        <charset val="2"/>
      </rPr>
      <t>­«</t>
    </r>
    <r>
      <rPr>
        <sz val="11"/>
        <color theme="1"/>
        <rFont val="Calibri"/>
        <family val="2"/>
        <scheme val="minor"/>
      </rPr>
      <t>,</t>
    </r>
    <r>
      <rPr>
        <b/>
        <sz val="11"/>
        <color theme="1"/>
        <rFont val="Calibri"/>
        <family val="2"/>
        <scheme val="minor"/>
      </rPr>
      <t xml:space="preserve"> </t>
    </r>
    <r>
      <rPr>
        <b/>
        <sz val="11"/>
        <color theme="1"/>
        <rFont val="Symbol"/>
        <family val="1"/>
        <charset val="2"/>
      </rPr>
      <t>«</t>
    </r>
    <r>
      <rPr>
        <sz val="11"/>
        <color theme="1"/>
        <rFont val="Symbol"/>
        <family val="1"/>
        <charset val="2"/>
      </rPr>
      <t>,</t>
    </r>
    <r>
      <rPr>
        <sz val="11"/>
        <color theme="1"/>
        <rFont val="Calibri"/>
        <family val="2"/>
        <scheme val="minor"/>
      </rPr>
      <t xml:space="preserve"> or</t>
    </r>
    <r>
      <rPr>
        <b/>
        <sz val="11"/>
        <color theme="1"/>
        <rFont val="Calibri"/>
        <family val="2"/>
        <scheme val="minor"/>
      </rPr>
      <t xml:space="preserve"> </t>
    </r>
    <r>
      <rPr>
        <b/>
        <sz val="11"/>
        <color theme="1"/>
        <rFont val="Symbol"/>
        <family val="1"/>
        <charset val="2"/>
      </rPr>
      <t>«¯</t>
    </r>
    <r>
      <rPr>
        <sz val="11"/>
        <color theme="1"/>
        <rFont val="Calibri"/>
        <family val="2"/>
        <scheme val="minor"/>
      </rPr>
      <t>.</t>
    </r>
  </si>
  <si>
    <r>
      <t xml:space="preserve">The spreadsheet on the </t>
    </r>
    <r>
      <rPr>
        <b/>
        <sz val="11"/>
        <rFont val="Calibri"/>
        <family val="2"/>
        <scheme val="minor"/>
      </rPr>
      <t>Trend Data</t>
    </r>
    <r>
      <rPr>
        <sz val="11"/>
        <rFont val="Calibri"/>
        <family val="2"/>
        <scheme val="minor"/>
      </rPr>
      <t xml:space="preserve"> tab fits a linear trend line to chosen points in a time series of an individual's measurements or test scores.</t>
    </r>
  </si>
  <si>
    <r>
      <t xml:space="preserve">Click the </t>
    </r>
    <r>
      <rPr>
        <b/>
        <sz val="12"/>
        <color rgb="FFFF0000"/>
        <rFont val="Calibri"/>
        <family val="2"/>
        <scheme val="minor"/>
      </rPr>
      <t>Trend Simulation</t>
    </r>
    <r>
      <rPr>
        <sz val="12"/>
        <color rgb="FFFF0000"/>
        <rFont val="Calibri"/>
        <family val="2"/>
        <scheme val="minor"/>
      </rPr>
      <t xml:space="preserve"> </t>
    </r>
    <r>
      <rPr>
        <b/>
        <sz val="12"/>
        <color rgb="FFFF0000"/>
        <rFont val="Calibri"/>
        <family val="2"/>
        <scheme val="minor"/>
      </rPr>
      <t>Instructions</t>
    </r>
    <r>
      <rPr>
        <sz val="12"/>
        <color rgb="FFFF0000"/>
        <rFont val="Calibri"/>
        <family val="2"/>
        <scheme val="minor"/>
      </rPr>
      <t xml:space="preserve"> tab for guidance.</t>
    </r>
  </si>
  <si>
    <r>
      <t xml:space="preserve">       (If the scores are counts of something or proportions of counts, see the comment for the </t>
    </r>
    <r>
      <rPr>
        <b/>
        <sz val="11"/>
        <rFont val="Calibri"/>
        <family val="2"/>
        <scheme val="minor"/>
      </rPr>
      <t>Typical error</t>
    </r>
    <r>
      <rPr>
        <sz val="11"/>
        <rFont val="Calibri"/>
        <family val="2"/>
        <scheme val="minor"/>
      </rPr>
      <t xml:space="preserve"> cell.)</t>
    </r>
  </si>
  <si>
    <t>Hover cursor for updates:</t>
  </si>
  <si>
    <t>See the comments in the various cells for more guidance.</t>
  </si>
  <si>
    <t>It therefore gives you an idea of the sensitiviy of your test or measure for assessing changes, and how often you will miss changes.</t>
  </si>
  <si>
    <t xml:space="preserve">    and for a given true value of average change from the extrapolated linear trend of points you have selected for averaging.</t>
  </si>
  <si>
    <r>
      <t xml:space="preserve">Replace numbers in </t>
    </r>
    <r>
      <rPr>
        <b/>
        <sz val="11"/>
        <color rgb="FF0000FF"/>
        <rFont val="Calibri"/>
        <family val="2"/>
        <scheme val="minor"/>
      </rPr>
      <t>blue</t>
    </r>
    <r>
      <rPr>
        <sz val="11"/>
        <rFont val="Calibri"/>
        <family val="2"/>
        <scheme val="minor"/>
      </rPr>
      <t xml:space="preserve"> to define</t>
    </r>
    <r>
      <rPr>
        <i/>
        <sz val="11"/>
        <rFont val="Calibri"/>
        <family val="2"/>
        <scheme val="minor"/>
      </rPr>
      <t xml:space="preserve"> very likely </t>
    </r>
    <r>
      <rPr>
        <sz val="11"/>
        <rFont val="Calibri"/>
        <family val="2"/>
        <scheme val="minor"/>
      </rPr>
      <t>and to specify true values for a starting score, trend, extra changes at any time points, and typical error.</t>
    </r>
  </si>
  <si>
    <t>This spreadsheet estimates how often you can expect to see various outcomes for a given true value of change from a previou test</t>
  </si>
  <si>
    <r>
      <t xml:space="preserve">Linear trend and changes in an individual's measurements. </t>
    </r>
    <r>
      <rPr>
        <sz val="12"/>
        <color rgb="FFFF0000"/>
        <rFont val="Calibri"/>
        <family val="2"/>
        <scheme val="minor"/>
      </rPr>
      <t xml:space="preserve">Click the </t>
    </r>
    <r>
      <rPr>
        <b/>
        <sz val="12"/>
        <color rgb="FFFF0000"/>
        <rFont val="Calibri"/>
        <family val="2"/>
        <scheme val="minor"/>
      </rPr>
      <t>Trend Instructions</t>
    </r>
    <r>
      <rPr>
        <sz val="12"/>
        <color rgb="FFFF0000"/>
        <rFont val="Calibri"/>
        <family val="2"/>
        <scheme val="minor"/>
      </rPr>
      <t xml:space="preserve"> tab for guidance.</t>
    </r>
  </si>
  <si>
    <r>
      <t xml:space="preserve">The spreadsheet </t>
    </r>
    <r>
      <rPr>
        <b/>
        <sz val="11"/>
        <color theme="1"/>
        <rFont val="Calibri"/>
        <family val="2"/>
        <scheme val="minor"/>
      </rPr>
      <t>Chances of Outcomes</t>
    </r>
    <r>
      <rPr>
        <sz val="11"/>
        <color theme="1"/>
        <rFont val="Calibri"/>
        <family val="2"/>
        <scheme val="minor"/>
      </rPr>
      <t xml:space="preserve"> estimates how often you will get various outcomes for a given true value of change score, allowing you to investigate how well you can quantify changes.</t>
    </r>
  </si>
  <si>
    <r>
      <t xml:space="preserve">    Define chances representing </t>
    </r>
    <r>
      <rPr>
        <i/>
        <sz val="11"/>
        <rFont val="Calibri"/>
        <family val="2"/>
        <scheme val="minor"/>
      </rPr>
      <t>very unlikely</t>
    </r>
    <r>
      <rPr>
        <sz val="11"/>
        <rFont val="Calibri"/>
        <family val="2"/>
        <scheme val="minor"/>
      </rPr>
      <t xml:space="preserve"> (E4).</t>
    </r>
  </si>
  <si>
    <t xml:space="preserve"> ...for the change from a previous test </t>
  </si>
  <si>
    <t xml:space="preserve">(using typical error defined above) </t>
  </si>
  <si>
    <t xml:space="preserve"> ...for the average change from your linear trend</t>
  </si>
  <si>
    <r>
      <t xml:space="preserve"> (using typical error defined in </t>
    </r>
    <r>
      <rPr>
        <b/>
        <sz val="11"/>
        <color theme="1"/>
        <rFont val="Calibri"/>
        <family val="2"/>
        <scheme val="minor"/>
      </rPr>
      <t>Trend Data</t>
    </r>
    <r>
      <rPr>
        <sz val="11"/>
        <color theme="1"/>
        <rFont val="Calibri"/>
        <family val="2"/>
        <scheme val="minor"/>
      </rPr>
      <t xml:space="preserve"> spreadsheet)</t>
    </r>
  </si>
  <si>
    <t xml:space="preserve">Chances (%) of seeing various outcomes </t>
  </si>
  <si>
    <r>
      <t xml:space="preserve">Values shown in </t>
    </r>
    <r>
      <rPr>
        <b/>
        <sz val="11"/>
        <color rgb="FFCC00CC"/>
        <rFont val="Calibri"/>
        <family val="2"/>
        <scheme val="minor"/>
      </rPr>
      <t>plum</t>
    </r>
    <r>
      <rPr>
        <sz val="11"/>
        <color theme="1"/>
        <rFont val="Calibri"/>
        <family val="2"/>
        <scheme val="minor"/>
      </rPr>
      <t xml:space="preserve"> color are copied from the </t>
    </r>
    <r>
      <rPr>
        <b/>
        <sz val="11"/>
        <color theme="1"/>
        <rFont val="Calibri"/>
        <family val="2"/>
        <scheme val="minor"/>
      </rPr>
      <t>Trend Data</t>
    </r>
    <r>
      <rPr>
        <sz val="11"/>
        <color theme="1"/>
        <rFont val="Calibri"/>
        <family val="2"/>
        <scheme val="minor"/>
      </rPr>
      <t xml:space="preserve"> spreadsheet. You can replace these numbers to explore the chances of seeing</t>
    </r>
  </si>
  <si>
    <t>If you make the cells for typical error blank, the spreadsheet will use values you inserted in the Trend Data spreadsheet</t>
  </si>
  <si>
    <r>
      <t xml:space="preserve">    various outcomes, but you will lose the formulae in those cells. </t>
    </r>
    <r>
      <rPr>
        <b/>
        <sz val="11"/>
        <color theme="1"/>
        <rFont val="Calibri"/>
        <family val="2"/>
        <scheme val="minor"/>
      </rPr>
      <t>Ctrl-Z</t>
    </r>
    <r>
      <rPr>
        <sz val="11"/>
        <color theme="1"/>
        <rFont val="Calibri"/>
        <family val="2"/>
        <scheme val="minor"/>
      </rPr>
      <t xml:space="preserve"> to restore the formulae, or copy the cells from a fresh downloaded version.</t>
    </r>
  </si>
  <si>
    <r>
      <rPr>
        <sz val="11"/>
        <color theme="1"/>
        <rFont val="Symbol"/>
        <family val="1"/>
        <charset val="2"/>
      </rPr>
      <t xml:space="preserve">    ¯ </t>
    </r>
    <r>
      <rPr>
        <sz val="11"/>
        <color theme="1"/>
        <rFont val="Calibri"/>
        <family val="2"/>
        <scheme val="minor"/>
      </rPr>
      <t>Insert values of 0x through 10x the smallest important and see how the chances change.</t>
    </r>
  </si>
  <si>
    <r>
      <rPr>
        <sz val="11"/>
        <color theme="1"/>
        <rFont val="Symbol"/>
        <family val="1"/>
        <charset val="2"/>
      </rPr>
      <t xml:space="preserve">    ¯ </t>
    </r>
    <r>
      <rPr>
        <sz val="11"/>
        <color theme="1"/>
        <rFont val="Calibri"/>
        <family val="2"/>
        <scheme val="minor"/>
      </rPr>
      <t>Insert values of 0.1x through 10x the smallest important and see how the chances change.</t>
    </r>
  </si>
  <si>
    <t xml:space="preserve"> ...for the average change from the linear trend</t>
  </si>
  <si>
    <t xml:space="preserve"> in this spreadsheet</t>
  </si>
  <si>
    <r>
      <t xml:space="preserve">    and for a given true value of average change from the extrapolated linear trend of points you have selected for averaging in the </t>
    </r>
    <r>
      <rPr>
        <b/>
        <sz val="11"/>
        <color theme="1"/>
        <rFont val="Calibri"/>
        <family val="2"/>
        <scheme val="minor"/>
      </rPr>
      <t>Trend Data</t>
    </r>
    <r>
      <rPr>
        <sz val="11"/>
        <color theme="1"/>
        <rFont val="Calibri"/>
        <family val="2"/>
        <scheme val="minor"/>
      </rPr>
      <t xml:space="preserve"> spreadsheet.</t>
    </r>
  </si>
  <si>
    <t>This spreadsheet also estimates how often you can expect to see various outcomes for a given true value of change from a previou test</t>
  </si>
  <si>
    <r>
      <t xml:space="preserve">These cells are similar to those in the </t>
    </r>
    <r>
      <rPr>
        <b/>
        <sz val="11"/>
        <color theme="1"/>
        <rFont val="Calibri"/>
        <family val="2"/>
        <scheme val="minor"/>
      </rPr>
      <t>Chances of outcomes</t>
    </r>
    <r>
      <rPr>
        <sz val="11"/>
        <color theme="1"/>
        <rFont val="Calibri"/>
        <family val="2"/>
        <scheme val="minor"/>
      </rPr>
      <t xml:space="preserve"> spreadsheet.</t>
    </r>
  </si>
  <si>
    <t>% conf.</t>
  </si>
  <si>
    <t>limits for true change</t>
  </si>
  <si>
    <t>first</t>
  </si>
  <si>
    <t>second</t>
  </si>
  <si>
    <r>
      <t>change (</t>
    </r>
    <r>
      <rPr>
        <sz val="10"/>
        <rFont val="Symbol"/>
        <family val="1"/>
        <charset val="2"/>
      </rPr>
      <t>D</t>
    </r>
    <r>
      <rPr>
        <sz val="10"/>
        <rFont val="Arial"/>
        <family val="2"/>
      </rPr>
      <t>)</t>
    </r>
  </si>
  <si>
    <t>raw   or</t>
  </si>
  <si>
    <t xml:space="preserve">  percent</t>
  </si>
  <si>
    <t xml:space="preserve">lower </t>
  </si>
  <si>
    <t xml:space="preserve">upper </t>
  </si>
  <si>
    <t>Assessing a simple change in an individual's measurements</t>
  </si>
  <si>
    <t>Equivalent confidence limits are</t>
  </si>
  <si>
    <t>When you re-test an individual, how confident are you about the magnitude of the true change?</t>
  </si>
  <si>
    <r>
      <t xml:space="preserve">Smallest important </t>
    </r>
    <r>
      <rPr>
        <sz val="10"/>
        <rFont val="Symbol"/>
        <family val="1"/>
        <charset val="2"/>
      </rPr>
      <t>D</t>
    </r>
  </si>
  <si>
    <t>Individual's  raw values</t>
  </si>
  <si>
    <t>Typical error</t>
  </si>
  <si>
    <t>Next, enter the two values for the individual's tests (or the change score for the two tests).</t>
  </si>
  <si>
    <t xml:space="preserve">    The confidence limits that correspond to these values of chances are also set automatically.</t>
  </si>
  <si>
    <r>
      <t xml:space="preserve">    Note that the usual level of confidence limits for magnitude-based inference with samples is 90%, corresponding to 95% for </t>
    </r>
    <r>
      <rPr>
        <i/>
        <sz val="10"/>
        <rFont val="Arial"/>
        <family val="2"/>
      </rPr>
      <t xml:space="preserve">very likely </t>
    </r>
    <r>
      <rPr>
        <sz val="10"/>
        <rFont val="Arial"/>
        <family val="2"/>
      </rPr>
      <t xml:space="preserve">and 5% for </t>
    </r>
    <r>
      <rPr>
        <i/>
        <sz val="10"/>
        <rFont val="Arial"/>
        <family val="2"/>
      </rPr>
      <t>very unlikely</t>
    </r>
    <r>
      <rPr>
        <sz val="10"/>
        <rFont val="Arial"/>
        <family val="2"/>
      </rPr>
      <t>.</t>
    </r>
  </si>
  <si>
    <t xml:space="preserve">    When assessing an individual with a noisy test, you can be a bit less conservative than with samples.</t>
  </si>
  <si>
    <r>
      <rPr>
        <i/>
        <sz val="10"/>
        <rFont val="Arial"/>
        <family val="2"/>
      </rPr>
      <t xml:space="preserve">    Noisy</t>
    </r>
    <r>
      <rPr>
        <sz val="10"/>
        <rFont val="Arial"/>
        <family val="2"/>
      </rPr>
      <t xml:space="preserve"> means the typical error is substantial (greater than half the smallest important change).</t>
    </r>
  </si>
  <si>
    <t>Deg. of freedom</t>
  </si>
  <si>
    <t>Chances (%) the true change is a...</t>
  </si>
  <si>
    <r>
      <t>substantial decrease (</t>
    </r>
    <r>
      <rPr>
        <b/>
        <sz val="9"/>
        <rFont val="Symbol"/>
        <family val="1"/>
        <charset val="2"/>
      </rPr>
      <t>¯</t>
    </r>
    <r>
      <rPr>
        <sz val="9"/>
        <rFont val="Arial"/>
        <family val="2"/>
      </rPr>
      <t>)</t>
    </r>
  </si>
  <si>
    <r>
      <t>trivial change (</t>
    </r>
    <r>
      <rPr>
        <b/>
        <sz val="9"/>
        <rFont val="Symbol"/>
        <family val="1"/>
        <charset val="2"/>
      </rPr>
      <t>«</t>
    </r>
    <r>
      <rPr>
        <sz val="9"/>
        <rFont val="Arial"/>
        <family val="2"/>
      </rPr>
      <t>)</t>
    </r>
  </si>
  <si>
    <r>
      <t>substantial increase (</t>
    </r>
    <r>
      <rPr>
        <b/>
        <sz val="9"/>
        <rFont val="Symbol"/>
        <family val="1"/>
        <charset val="2"/>
      </rPr>
      <t>­</t>
    </r>
    <r>
      <rPr>
        <sz val="9"/>
        <rFont val="Arial"/>
        <family val="2"/>
      </rPr>
      <t>)</t>
    </r>
  </si>
  <si>
    <r>
      <t xml:space="preserve">    Chances of change that you would describe as </t>
    </r>
    <r>
      <rPr>
        <i/>
        <sz val="10"/>
        <rFont val="Arial"/>
        <family val="2"/>
      </rPr>
      <t>possible</t>
    </r>
    <r>
      <rPr>
        <sz val="10"/>
        <rFont val="Arial"/>
        <family val="2"/>
      </rPr>
      <t xml:space="preserve"> and as </t>
    </r>
    <r>
      <rPr>
        <i/>
        <sz val="10"/>
        <rFont val="Arial"/>
        <family val="2"/>
      </rPr>
      <t>very unlikely</t>
    </r>
    <r>
      <rPr>
        <sz val="10"/>
        <rFont val="Arial"/>
        <family val="2"/>
      </rPr>
      <t xml:space="preserve"> are then set automatically. (</t>
    </r>
    <r>
      <rPr>
        <i/>
        <sz val="10"/>
        <rFont val="Arial"/>
        <family val="2"/>
      </rPr>
      <t>Likely</t>
    </r>
    <r>
      <rPr>
        <sz val="10"/>
        <rFont val="Arial"/>
        <family val="2"/>
      </rPr>
      <t xml:space="preserve"> and </t>
    </r>
    <r>
      <rPr>
        <i/>
        <sz val="10"/>
        <rFont val="Arial"/>
        <family val="2"/>
      </rPr>
      <t>unlikely</t>
    </r>
    <r>
      <rPr>
        <sz val="10"/>
        <rFont val="Arial"/>
        <family val="2"/>
      </rPr>
      <t xml:space="preserve"> are included with </t>
    </r>
    <r>
      <rPr>
        <i/>
        <sz val="10"/>
        <rFont val="Arial"/>
        <family val="2"/>
      </rPr>
      <t>possible</t>
    </r>
    <r>
      <rPr>
        <sz val="10"/>
        <rFont val="Arial"/>
        <family val="2"/>
      </rPr>
      <t xml:space="preserve"> here.)</t>
    </r>
  </si>
  <si>
    <t>Now enter the values for the smallest important change and the typical error in raw or percent units, and the degrees of freedom of the typical error.</t>
  </si>
  <si>
    <t>% for the likely range of the true change.</t>
  </si>
  <si>
    <r>
      <rPr>
        <sz val="11"/>
        <color theme="1"/>
        <rFont val="Symbol"/>
        <family val="1"/>
        <charset val="2"/>
      </rPr>
      <t>¬</t>
    </r>
    <r>
      <rPr>
        <sz val="11"/>
        <color theme="1"/>
        <rFont val="Calibri"/>
        <family val="2"/>
      </rPr>
      <t xml:space="preserve"> </t>
    </r>
    <r>
      <rPr>
        <sz val="11"/>
        <color theme="1"/>
        <rFont val="Calibri"/>
        <family val="2"/>
        <scheme val="minor"/>
      </rPr>
      <t>For more or less time points, highlight</t>
    </r>
  </si>
  <si>
    <r>
      <rPr>
        <sz val="11"/>
        <color theme="1"/>
        <rFont val="Symbol"/>
        <family val="1"/>
        <charset val="2"/>
      </rPr>
      <t>¬</t>
    </r>
    <r>
      <rPr>
        <sz val="11"/>
        <color theme="1"/>
        <rFont val="Calibri"/>
        <family val="2"/>
      </rPr>
      <t xml:space="preserve"> </t>
    </r>
    <r>
      <rPr>
        <sz val="11"/>
        <color theme="1"/>
        <rFont val="Calibri"/>
        <family val="2"/>
        <scheme val="minor"/>
      </rPr>
      <t>For more or less time points, highlight, copy and</t>
    </r>
  </si>
  <si>
    <t xml:space="preserve">      insert or delete entire colums to the left of here.</t>
  </si>
  <si>
    <t>As in the Trend Data sheet, choose scores to fit a linear trend line.</t>
  </si>
  <si>
    <r>
      <t>The data shown in the spreadsheet simulate sum of skinfolds for an individual</t>
    </r>
    <r>
      <rPr>
        <sz val="11"/>
        <rFont val="Calibri"/>
        <family val="2"/>
      </rPr>
      <t>.</t>
    </r>
  </si>
  <si>
    <t>This workbook consists of this spreadsheet and five other spreadsheets, available on the tabs below.</t>
  </si>
  <si>
    <t>This workbook consists of this spreadsheet and five other spreadsheets for assessing changes in an individual's measurements, available on the tabs below.</t>
  </si>
  <si>
    <r>
      <t xml:space="preserve">This spreadsheet, </t>
    </r>
    <r>
      <rPr>
        <b/>
        <sz val="10"/>
        <rFont val="Arial"/>
        <family val="2"/>
      </rPr>
      <t>Simple Change</t>
    </r>
    <r>
      <rPr>
        <sz val="10"/>
        <rFont val="Arial"/>
        <family val="2"/>
      </rPr>
      <t xml:space="preserve">, contains instructions and cells for performing analysis of single change scores. </t>
    </r>
  </si>
  <si>
    <r>
      <t xml:space="preserve">Use </t>
    </r>
    <r>
      <rPr>
        <b/>
        <sz val="11"/>
        <rFont val="Calibri"/>
        <family val="2"/>
      </rPr>
      <t>Trend Simulation Data</t>
    </r>
    <r>
      <rPr>
        <sz val="11"/>
        <rFont val="Calibri"/>
        <family val="2"/>
      </rPr>
      <t xml:space="preserve"> spreadsheet to get a sense of the kind of outcomes you will see when monitoring an individual.</t>
    </r>
  </si>
  <si>
    <r>
      <t>This spreadsheet,</t>
    </r>
    <r>
      <rPr>
        <b/>
        <sz val="11"/>
        <rFont val="Calibri"/>
        <family val="2"/>
      </rPr>
      <t xml:space="preserve"> Trend Instructions</t>
    </r>
    <r>
      <rPr>
        <sz val="11"/>
        <rFont val="Calibri"/>
        <family val="2"/>
      </rPr>
      <t xml:space="preserve">, explains the spreadsheet on the </t>
    </r>
    <r>
      <rPr>
        <b/>
        <sz val="11"/>
        <rFont val="Calibri"/>
        <family val="2"/>
      </rPr>
      <t>Trend Data</t>
    </r>
    <r>
      <rPr>
        <sz val="11"/>
        <rFont val="Calibri"/>
        <family val="2"/>
      </rPr>
      <t xml:space="preserve"> tab, where you insert your data for repeated measurements on an individual.</t>
    </r>
  </si>
  <si>
    <t>Chances of Outcomes for the Trend Data Spreadsheet</t>
  </si>
  <si>
    <r>
      <t xml:space="preserve">The </t>
    </r>
    <r>
      <rPr>
        <b/>
        <sz val="11"/>
        <rFont val="Calibri"/>
        <family val="2"/>
      </rPr>
      <t>Trend Simulation Instructions</t>
    </r>
    <r>
      <rPr>
        <sz val="11"/>
        <rFont val="Calibri"/>
        <family val="2"/>
      </rPr>
      <t xml:space="preserve"> and </t>
    </r>
    <r>
      <rPr>
        <b/>
        <sz val="11"/>
        <rFont val="Calibri"/>
        <family val="2"/>
      </rPr>
      <t>Trend Simulation Data</t>
    </r>
    <r>
      <rPr>
        <sz val="11"/>
        <rFont val="Calibri"/>
        <family val="2"/>
      </rPr>
      <t xml:space="preserve"> spreadsheets can simulate data similar to yours, another way to see how well you can quantify changes.</t>
    </r>
  </si>
  <si>
    <r>
      <t xml:space="preserve">Replace numbers in </t>
    </r>
    <r>
      <rPr>
        <b/>
        <sz val="11"/>
        <color rgb="FF0000FF"/>
        <rFont val="Calibri"/>
        <family val="2"/>
        <scheme val="minor"/>
      </rPr>
      <t>blue</t>
    </r>
    <r>
      <rPr>
        <sz val="11"/>
        <rFont val="Calibri"/>
        <family val="2"/>
        <scheme val="minor"/>
      </rPr>
      <t xml:space="preserve"> with your options and data, as follows…</t>
    </r>
  </si>
  <si>
    <t>The data shown are for the sum of skinfolds in an athlete.</t>
  </si>
  <si>
    <r>
      <t xml:space="preserve">Replace numbers in </t>
    </r>
    <r>
      <rPr>
        <b/>
        <sz val="11"/>
        <color rgb="FF0000FF"/>
        <rFont val="Calibri"/>
        <family val="2"/>
        <scheme val="minor"/>
      </rPr>
      <t>blue</t>
    </r>
    <r>
      <rPr>
        <sz val="11"/>
        <rFont val="Calibri"/>
        <family val="2"/>
        <scheme val="minor"/>
      </rPr>
      <t xml:space="preserve"> with your data, as follows...</t>
    </r>
  </si>
  <si>
    <r>
      <t xml:space="preserve">You first choose a value for chances (%) that define a </t>
    </r>
    <r>
      <rPr>
        <i/>
        <sz val="10"/>
        <rFont val="Arial"/>
        <family val="2"/>
      </rPr>
      <t>very likely</t>
    </r>
    <r>
      <rPr>
        <sz val="10"/>
        <rFont val="Arial"/>
        <family val="2"/>
      </rPr>
      <t xml:space="preserve"> or </t>
    </r>
    <r>
      <rPr>
        <i/>
        <sz val="10"/>
        <rFont val="Arial"/>
        <family val="2"/>
      </rPr>
      <t>decisive</t>
    </r>
    <r>
      <rPr>
        <sz val="10"/>
        <rFont val="Arial"/>
        <family val="2"/>
      </rPr>
      <t xml:space="preserve"> change. The value shown is a good default, 90%.</t>
    </r>
  </si>
  <si>
    <t>percent change</t>
  </si>
  <si>
    <t>With the exception of predicted scores, ignore these cells:</t>
  </si>
  <si>
    <t>Change (raw)</t>
  </si>
  <si>
    <t>Change (%)</t>
  </si>
  <si>
    <r>
      <t xml:space="preserve">Changes from </t>
    </r>
    <r>
      <rPr>
        <b/>
        <sz val="11"/>
        <color rgb="FF990099"/>
        <rFont val="Calibri"/>
        <family val="2"/>
        <scheme val="minor"/>
      </rPr>
      <t>previous</t>
    </r>
    <r>
      <rPr>
        <b/>
        <sz val="11"/>
        <color theme="1"/>
        <rFont val="Calibri"/>
        <family val="2"/>
        <scheme val="minor"/>
      </rPr>
      <t xml:space="preserve"> test</t>
    </r>
  </si>
  <si>
    <r>
      <t xml:space="preserve">Changes from </t>
    </r>
    <r>
      <rPr>
        <b/>
        <sz val="11"/>
        <color rgb="FF990099"/>
        <rFont val="Calibri"/>
        <family val="2"/>
        <scheme val="minor"/>
      </rPr>
      <t xml:space="preserve"> linear trend</t>
    </r>
  </si>
  <si>
    <t>Average change from linear trend</t>
  </si>
  <si>
    <t>Chosen reference score(s)</t>
  </si>
  <si>
    <t>Mean</t>
  </si>
  <si>
    <t>Choose reference test(s)</t>
  </si>
  <si>
    <r>
      <t xml:space="preserve">Changes from </t>
    </r>
    <r>
      <rPr>
        <b/>
        <sz val="11"/>
        <color rgb="FF990099"/>
        <rFont val="Calibri"/>
        <family val="2"/>
        <scheme val="minor"/>
      </rPr>
      <t>reference</t>
    </r>
    <r>
      <rPr>
        <b/>
        <sz val="11"/>
        <color theme="1"/>
        <rFont val="Calibri"/>
        <family val="2"/>
        <scheme val="minor"/>
      </rPr>
      <t xml:space="preserve"> test(s)</t>
    </r>
  </si>
  <si>
    <t xml:space="preserve">        If you don't have a typical error, the spreadsheet uses the scatter around the trend line as an estimate, but you should use at least 10 points.</t>
  </si>
  <si>
    <r>
      <t xml:space="preserve">    The change is more decisive when it is</t>
    </r>
    <r>
      <rPr>
        <i/>
        <sz val="11"/>
        <rFont val="Calibri"/>
        <family val="2"/>
        <scheme val="minor"/>
      </rPr>
      <t xml:space="preserve"> very likely </t>
    </r>
    <r>
      <rPr>
        <sz val="11"/>
        <rFont val="Calibri"/>
        <family val="2"/>
        <scheme val="minor"/>
      </rPr>
      <t xml:space="preserve">trivial or substantial, indicated by an asterisk: </t>
    </r>
    <r>
      <rPr>
        <sz val="11"/>
        <rFont val="Symbol"/>
        <family val="1"/>
        <charset val="2"/>
      </rPr>
      <t>«*, ­*,</t>
    </r>
    <r>
      <rPr>
        <sz val="11"/>
        <rFont val="Calibri"/>
        <family val="2"/>
        <scheme val="minor"/>
      </rPr>
      <t xml:space="preserve"> or </t>
    </r>
    <r>
      <rPr>
        <sz val="11"/>
        <rFont val="Symbol"/>
        <family val="1"/>
        <charset val="2"/>
      </rPr>
      <t>¯*</t>
    </r>
    <r>
      <rPr>
        <sz val="11"/>
        <rFont val="Calibri"/>
        <family val="2"/>
        <scheme val="minor"/>
      </rPr>
      <t>.</t>
    </r>
  </si>
  <si>
    <t xml:space="preserve">     and the change represented by the trend itself.</t>
  </si>
  <si>
    <r>
      <t xml:space="preserve">The data shown in the </t>
    </r>
    <r>
      <rPr>
        <b/>
        <sz val="11"/>
        <color theme="1"/>
        <rFont val="Calibri"/>
        <family val="2"/>
        <scheme val="minor"/>
      </rPr>
      <t xml:space="preserve">Trend Data </t>
    </r>
    <r>
      <rPr>
        <sz val="11"/>
        <color theme="1"/>
        <rFont val="Calibri"/>
        <family val="2"/>
        <scheme val="minor"/>
      </rPr>
      <t xml:space="preserve">spreadsheet are simulated sums of skinfolds, generated with the </t>
    </r>
    <r>
      <rPr>
        <b/>
        <sz val="11"/>
        <color theme="1"/>
        <rFont val="Calibri"/>
        <family val="2"/>
        <scheme val="minor"/>
      </rPr>
      <t>Trend Simulation Data</t>
    </r>
    <r>
      <rPr>
        <sz val="11"/>
        <color theme="1"/>
        <rFont val="Calibri"/>
        <family val="2"/>
        <scheme val="minor"/>
      </rPr>
      <t xml:space="preserve"> Spreadsheet.</t>
    </r>
  </si>
  <si>
    <t xml:space="preserve">     the change between each test score and the score for a chosen reference test (or mean of several chosen tests);</t>
  </si>
  <si>
    <t xml:space="preserve">     the change between each test score and the previous test score;</t>
  </si>
  <si>
    <t xml:space="preserve">     the change between individual observed test scores and the corresponding scores predicted by the  trend;</t>
  </si>
  <si>
    <t xml:space="preserve">     the change between the average of selected observed test scores and the average of corresponding scores predicted by the  trend;</t>
  </si>
  <si>
    <t xml:space="preserve">    Insert the typical error from a short-term reliability study of the test.</t>
  </si>
  <si>
    <t xml:space="preserve">    To assess the trend, insert a target change for the test score and the time over which you expect the change to occur.</t>
  </si>
  <si>
    <t>Then, if appropriate, specify contiguous time points not used for the trend. The spreadsheet averages the observed and predicted values for these points,</t>
  </si>
  <si>
    <t xml:space="preserve">    then does inferences for the change between them. Averaging values in this way reduces the error.</t>
  </si>
  <si>
    <t>For all of these changes, the spreadsheet estimates chances of substantial and trivial changes, and uses these to make inferences, as follows…</t>
  </si>
  <si>
    <r>
      <t xml:space="preserve">% is </t>
    </r>
    <r>
      <rPr>
        <i/>
        <sz val="11"/>
        <color theme="1"/>
        <rFont val="Calibri"/>
        <family val="2"/>
        <scheme val="minor"/>
      </rPr>
      <t>very likely</t>
    </r>
    <r>
      <rPr>
        <sz val="11"/>
        <color theme="1"/>
        <rFont val="Calibri"/>
        <family val="2"/>
        <scheme val="minor"/>
      </rPr>
      <t xml:space="preserve"> or </t>
    </r>
    <r>
      <rPr>
        <i/>
        <sz val="11"/>
        <color theme="1"/>
        <rFont val="Calibri"/>
        <family val="2"/>
        <scheme val="minor"/>
      </rPr>
      <t xml:space="preserve">decisive </t>
    </r>
    <r>
      <rPr>
        <sz val="11"/>
        <color theme="1"/>
        <rFont val="Calibri"/>
        <family val="2"/>
        <scheme val="minor"/>
      </rPr>
      <t xml:space="preserve">and is indicated with </t>
    </r>
    <r>
      <rPr>
        <b/>
        <sz val="11"/>
        <color rgb="FFFF0000"/>
        <rFont val="Symbol"/>
        <family val="1"/>
        <charset val="2"/>
      </rPr>
      <t>­</t>
    </r>
    <r>
      <rPr>
        <b/>
        <sz val="11"/>
        <color rgb="FFFF0000"/>
        <rFont val="Calibri"/>
        <family val="2"/>
        <scheme val="minor"/>
      </rPr>
      <t>*</t>
    </r>
    <r>
      <rPr>
        <sz val="11"/>
        <color theme="1"/>
        <rFont val="Calibri"/>
        <family val="2"/>
        <scheme val="minor"/>
      </rPr>
      <t>,</t>
    </r>
    <r>
      <rPr>
        <b/>
        <sz val="11"/>
        <color theme="1"/>
        <rFont val="Calibri"/>
        <family val="2"/>
        <scheme val="minor"/>
      </rPr>
      <t xml:space="preserve"> </t>
    </r>
    <r>
      <rPr>
        <b/>
        <sz val="11"/>
        <color rgb="FFFF0000"/>
        <rFont val="Symbol"/>
        <family val="1"/>
        <charset val="2"/>
      </rPr>
      <t>¯</t>
    </r>
    <r>
      <rPr>
        <b/>
        <sz val="11"/>
        <color rgb="FFFF0000"/>
        <rFont val="Calibri"/>
        <family val="2"/>
        <scheme val="minor"/>
      </rPr>
      <t>*</t>
    </r>
    <r>
      <rPr>
        <sz val="11"/>
        <color theme="1"/>
        <rFont val="Calibri"/>
        <family val="2"/>
        <scheme val="minor"/>
      </rPr>
      <t xml:space="preserve">, or </t>
    </r>
    <r>
      <rPr>
        <b/>
        <sz val="11"/>
        <color rgb="FFFF0000"/>
        <rFont val="Symbol"/>
        <family val="1"/>
        <charset val="2"/>
      </rPr>
      <t>«</t>
    </r>
    <r>
      <rPr>
        <b/>
        <sz val="11"/>
        <color rgb="FFFF0000"/>
        <rFont val="Calibri"/>
        <family val="2"/>
        <scheme val="minor"/>
      </rPr>
      <t>*</t>
    </r>
    <r>
      <rPr>
        <sz val="11"/>
        <color theme="1"/>
        <rFont val="Calibri"/>
        <family val="2"/>
        <scheme val="minor"/>
      </rPr>
      <t>.</t>
    </r>
  </si>
  <si>
    <r>
      <rPr>
        <b/>
        <sz val="10"/>
        <color rgb="FFFF0000"/>
        <rFont val="Symbol"/>
        <family val="1"/>
        <charset val="2"/>
      </rPr>
      <t>­*</t>
    </r>
    <r>
      <rPr>
        <sz val="10"/>
        <color theme="1"/>
        <rFont val="Calibri"/>
        <family val="2"/>
      </rPr>
      <t xml:space="preserve"> occurs when observed </t>
    </r>
    <r>
      <rPr>
        <sz val="10"/>
        <color theme="1"/>
        <rFont val="Symbol"/>
        <family val="1"/>
        <charset val="2"/>
      </rPr>
      <t xml:space="preserve">D </t>
    </r>
    <r>
      <rPr>
        <sz val="10"/>
        <color theme="1"/>
        <rFont val="Calibri"/>
        <family val="2"/>
      </rPr>
      <t>is &gt;</t>
    </r>
    <r>
      <rPr>
        <sz val="10"/>
        <color theme="1"/>
        <rFont val="Calibri"/>
        <family val="2"/>
        <scheme val="minor"/>
      </rPr>
      <t xml:space="preserve">  </t>
    </r>
  </si>
  <si>
    <t>typical errors above the smallest important.</t>
  </si>
  <si>
    <t>(raw units)</t>
  </si>
  <si>
    <r>
      <t xml:space="preserve">   A change that is a possible substantial increase and a possible substantial decrease is </t>
    </r>
    <r>
      <rPr>
        <i/>
        <sz val="11"/>
        <color theme="1"/>
        <rFont val="Calibri"/>
        <family val="2"/>
        <scheme val="minor"/>
      </rPr>
      <t>unclear</t>
    </r>
    <r>
      <rPr>
        <sz val="11"/>
        <color theme="1"/>
        <rFont val="Calibri"/>
        <family val="2"/>
        <scheme val="minor"/>
      </rPr>
      <t xml:space="preserve"> and is indicated with </t>
    </r>
    <r>
      <rPr>
        <b/>
        <sz val="11"/>
        <color rgb="FFFF0000"/>
        <rFont val="Calibri"/>
        <family val="2"/>
        <scheme val="minor"/>
      </rPr>
      <t>?</t>
    </r>
    <r>
      <rPr>
        <sz val="11"/>
        <color theme="1"/>
        <rFont val="Calibri"/>
        <family val="2"/>
        <scheme val="minor"/>
      </rPr>
      <t>.</t>
    </r>
  </si>
  <si>
    <t>Typical error of mean</t>
  </si>
  <si>
    <t>Score mean</t>
  </si>
  <si>
    <t>Insert typical error or let the spreadsheet do it:</t>
  </si>
  <si>
    <t>Right-click on the graph axes to select appropriate minimum values.</t>
  </si>
  <si>
    <r>
      <t xml:space="preserve">    The change is otherwise decisive and marked with  </t>
    </r>
    <r>
      <rPr>
        <sz val="11"/>
        <rFont val="Symbol"/>
        <family val="1"/>
        <charset val="2"/>
      </rPr>
      <t xml:space="preserve">« </t>
    </r>
    <r>
      <rPr>
        <sz val="11"/>
        <rFont val="Calibri"/>
        <family val="2"/>
        <scheme val="minor"/>
      </rPr>
      <t>and/or</t>
    </r>
    <r>
      <rPr>
        <sz val="11"/>
        <rFont val="Symbol"/>
        <family val="1"/>
        <charset val="2"/>
      </rPr>
      <t xml:space="preserve"> ­ </t>
    </r>
    <r>
      <rPr>
        <sz val="11"/>
        <rFont val="Calibri"/>
        <family val="2"/>
        <scheme val="minor"/>
      </rPr>
      <t>or</t>
    </r>
    <r>
      <rPr>
        <sz val="11"/>
        <rFont val="Symbol"/>
        <family val="1"/>
        <charset val="2"/>
      </rPr>
      <t xml:space="preserve"> </t>
    </r>
    <r>
      <rPr>
        <sz val="11"/>
        <rFont val="Calibri"/>
        <family val="2"/>
      </rPr>
      <t xml:space="preserve"> to indicate it could be trivial and/or a substantial increase (but not a decrease),</t>
    </r>
  </si>
  <si>
    <r>
      <t xml:space="preserve">        </t>
    </r>
    <r>
      <rPr>
        <sz val="11"/>
        <rFont val="Calibri"/>
        <family val="2"/>
      </rPr>
      <t xml:space="preserve">or </t>
    </r>
    <r>
      <rPr>
        <sz val="11"/>
        <rFont val="Symbol"/>
        <family val="1"/>
        <charset val="2"/>
      </rPr>
      <t xml:space="preserve">« </t>
    </r>
    <r>
      <rPr>
        <sz val="11"/>
        <rFont val="Calibri"/>
        <family val="2"/>
      </rPr>
      <t xml:space="preserve">and/or </t>
    </r>
    <r>
      <rPr>
        <sz val="11"/>
        <rFont val="Symbol"/>
        <family val="1"/>
        <charset val="2"/>
      </rPr>
      <t xml:space="preserve">¯ </t>
    </r>
    <r>
      <rPr>
        <sz val="11"/>
        <rFont val="Calibri"/>
        <family val="2"/>
      </rPr>
      <t xml:space="preserve">to indicate it could be trivial and/or a substantial decrease (but not an increase). </t>
    </r>
    <r>
      <rPr>
        <sz val="11"/>
        <rFont val="Calibri"/>
        <family val="2"/>
        <scheme val="minor"/>
      </rPr>
      <t xml:space="preserve"> </t>
    </r>
  </si>
  <si>
    <r>
      <t xml:space="preserve">% is therefore </t>
    </r>
    <r>
      <rPr>
        <i/>
        <sz val="11"/>
        <color theme="1"/>
        <rFont val="Calibri"/>
        <family val="2"/>
        <scheme val="minor"/>
      </rPr>
      <t xml:space="preserve">possible </t>
    </r>
    <r>
      <rPr>
        <sz val="11"/>
        <color theme="1"/>
        <rFont val="Calibri"/>
        <family val="2"/>
        <scheme val="minor"/>
      </rPr>
      <t xml:space="preserve">and is indicated with </t>
    </r>
    <r>
      <rPr>
        <b/>
        <sz val="11"/>
        <color rgb="FFFF0000"/>
        <rFont val="Symbol"/>
        <family val="1"/>
        <charset val="2"/>
      </rPr>
      <t>«</t>
    </r>
    <r>
      <rPr>
        <sz val="11"/>
        <color theme="1"/>
        <rFont val="Calibri"/>
        <family val="2"/>
        <scheme val="minor"/>
      </rPr>
      <t xml:space="preserve"> and/or (</t>
    </r>
    <r>
      <rPr>
        <b/>
        <sz val="11"/>
        <color rgb="FFFF0000"/>
        <rFont val="Symbol"/>
        <family val="1"/>
        <charset val="2"/>
      </rPr>
      <t>­</t>
    </r>
    <r>
      <rPr>
        <sz val="11"/>
        <color theme="1"/>
        <rFont val="Calibri"/>
        <family val="2"/>
        <scheme val="minor"/>
      </rPr>
      <t xml:space="preserve"> or</t>
    </r>
    <r>
      <rPr>
        <b/>
        <sz val="11"/>
        <color theme="1"/>
        <rFont val="Calibri"/>
        <family val="2"/>
        <scheme val="minor"/>
      </rPr>
      <t xml:space="preserve"> </t>
    </r>
    <r>
      <rPr>
        <b/>
        <sz val="11"/>
        <color rgb="FFFF0000"/>
        <rFont val="Symbol"/>
        <family val="1"/>
        <charset val="2"/>
      </rPr>
      <t>¯</t>
    </r>
    <r>
      <rPr>
        <sz val="11"/>
        <color theme="1"/>
        <rFont val="Calibri"/>
        <family val="2"/>
        <scheme val="minor"/>
      </rPr>
      <t>).</t>
    </r>
  </si>
  <si>
    <t xml:space="preserve">Values beyond the regression line with error bars falling outside </t>
  </si>
  <si>
    <t xml:space="preserve">   the dashed lines have &gt;90% chance of being off the trend.</t>
  </si>
  <si>
    <r>
      <t xml:space="preserve">    If 90% means </t>
    </r>
    <r>
      <rPr>
        <i/>
        <sz val="10"/>
        <rFont val="Arial"/>
        <family val="2"/>
      </rPr>
      <t>very likely</t>
    </r>
    <r>
      <rPr>
        <sz val="10"/>
        <rFont val="Arial"/>
        <family val="2"/>
      </rPr>
      <t>, the corresponding level for the confidence limits is 80%.</t>
    </r>
  </si>
  <si>
    <t xml:space="preserve">    Hover the cursor over the relevant cells for guidance on these values. Also, see the appendices in the article accompanying this spreadsheet.</t>
  </si>
  <si>
    <t>To keep track of more than one change, highlight the above two rows entirely, copy, then (right-click to) insert copied cells.</t>
  </si>
  <si>
    <r>
      <t xml:space="preserve">Percent change, confidence limits of raw change, chances of trivial and substantial changes, and a symbolic inference are shown in </t>
    </r>
    <r>
      <rPr>
        <b/>
        <sz val="10"/>
        <color rgb="FFFF0000"/>
        <rFont val="Arial"/>
        <family val="2"/>
      </rPr>
      <t>red</t>
    </r>
    <r>
      <rPr>
        <sz val="10"/>
        <rFont val="Arial"/>
        <family val="2"/>
      </rPr>
      <t>.</t>
    </r>
  </si>
  <si>
    <t>This spreadsheet estimates confidence limits for the true change, and chances that the true change is a substantial decrease, trivial, and a substantial increase.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</si>
</sst>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7" x14ac:knownFonts="1">
    <font>
      <sz val="11"/>
      <color theme="1"/>
      <name val="Calibri"/>
      <family val="2"/>
      <scheme val="minor"/>
    </font>
    <font>
      <sz val="11"/>
      <color theme="1"/>
      <name val="Symbol"/>
      <family val="1"/>
      <charset val="2"/>
    </font>
    <font>
      <sz val="11"/>
      <color rgb="FFFF0000"/>
      <name val="Calibri"/>
      <family val="2"/>
      <scheme val="minor"/>
    </font>
    <font>
      <b/>
      <sz val="11"/>
      <color rgb="FFFF0000"/>
      <name val="Calibri"/>
      <family val="2"/>
      <scheme val="minor"/>
    </font>
    <font>
      <sz val="11"/>
      <color theme="1"/>
      <name val="Calibri"/>
      <family val="2"/>
    </font>
    <font>
      <b/>
      <sz val="11"/>
      <color rgb="FF3333FF"/>
      <name val="Calibri"/>
      <family val="2"/>
      <scheme val="minor"/>
    </font>
    <font>
      <b/>
      <sz val="11"/>
      <color rgb="FFFF0000"/>
      <name val="Symbol"/>
      <family val="1"/>
      <charset val="2"/>
    </font>
    <font>
      <b/>
      <sz val="10"/>
      <name val="Arial"/>
      <family val="2"/>
    </font>
    <font>
      <sz val="10"/>
      <name val="Arial"/>
      <family val="2"/>
    </font>
    <font>
      <sz val="9"/>
      <color indexed="81"/>
      <name val="Tahoma"/>
      <family val="2"/>
    </font>
    <font>
      <b/>
      <sz val="12"/>
      <color theme="1"/>
      <name val="Calibri"/>
      <family val="2"/>
      <scheme val="minor"/>
    </font>
    <font>
      <b/>
      <sz val="11"/>
      <color theme="1"/>
      <name val="Calibri"/>
      <family val="2"/>
      <scheme val="minor"/>
    </font>
    <font>
      <sz val="8"/>
      <color indexed="81"/>
      <name val="Tahoma"/>
      <family val="2"/>
    </font>
    <font>
      <b/>
      <sz val="8"/>
      <color indexed="81"/>
      <name val="Tahoma"/>
      <family val="2"/>
    </font>
    <font>
      <sz val="8"/>
      <color indexed="81"/>
      <name val="Symbol"/>
      <family val="1"/>
      <charset val="2"/>
    </font>
    <font>
      <sz val="11"/>
      <name val="Calibri"/>
      <family val="2"/>
      <scheme val="minor"/>
    </font>
    <font>
      <sz val="10"/>
      <name val="Calibri"/>
      <family val="2"/>
    </font>
    <font>
      <sz val="11"/>
      <name val="Calibri"/>
      <family val="2"/>
    </font>
    <font>
      <b/>
      <sz val="10"/>
      <name val="Calibri"/>
      <family val="2"/>
    </font>
    <font>
      <b/>
      <sz val="12"/>
      <color rgb="FFFF0000"/>
      <name val="Calibri"/>
      <family val="2"/>
      <scheme val="minor"/>
    </font>
    <font>
      <b/>
      <sz val="11"/>
      <color rgb="FF0000FF"/>
      <name val="Calibri"/>
      <family val="2"/>
      <scheme val="minor"/>
    </font>
    <font>
      <sz val="9.35"/>
      <color theme="1"/>
      <name val="Calibri"/>
      <family val="2"/>
    </font>
    <font>
      <b/>
      <sz val="8"/>
      <color indexed="81"/>
      <name val="Symbol"/>
      <family val="1"/>
      <charset val="2"/>
    </font>
    <font>
      <b/>
      <sz val="11"/>
      <name val="Calibri"/>
      <family val="2"/>
      <scheme val="minor"/>
    </font>
    <font>
      <i/>
      <sz val="11"/>
      <color theme="1"/>
      <name val="Calibri"/>
      <family val="2"/>
      <scheme val="minor"/>
    </font>
    <font>
      <i/>
      <sz val="8"/>
      <color indexed="81"/>
      <name val="Tahoma"/>
      <family val="2"/>
    </font>
    <font>
      <b/>
      <sz val="11"/>
      <name val="Calibri"/>
      <family val="2"/>
    </font>
    <font>
      <b/>
      <i/>
      <sz val="11"/>
      <name val="Calibri"/>
      <family val="2"/>
    </font>
    <font>
      <i/>
      <sz val="11"/>
      <name val="Calibri"/>
      <family val="2"/>
      <scheme val="minor"/>
    </font>
    <font>
      <sz val="11"/>
      <name val="Symbol"/>
      <family val="1"/>
      <charset val="2"/>
    </font>
    <font>
      <sz val="9"/>
      <color indexed="81"/>
      <name val="Symbol"/>
      <family val="1"/>
      <charset val="2"/>
    </font>
    <font>
      <i/>
      <sz val="9"/>
      <color indexed="81"/>
      <name val="Tahoma"/>
      <family val="2"/>
    </font>
    <font>
      <sz val="12"/>
      <color rgb="FFFF0000"/>
      <name val="Calibri"/>
      <family val="2"/>
      <scheme val="minor"/>
    </font>
    <font>
      <b/>
      <sz val="11"/>
      <color theme="1"/>
      <name val="Symbol"/>
      <family val="1"/>
      <charset val="2"/>
    </font>
    <font>
      <b/>
      <sz val="11"/>
      <color theme="1"/>
      <name val="Calibri"/>
      <family val="2"/>
    </font>
    <font>
      <b/>
      <sz val="9"/>
      <color indexed="81"/>
      <name val="Tahoma"/>
      <family val="2"/>
    </font>
    <font>
      <b/>
      <sz val="11"/>
      <color rgb="FFCC00CC"/>
      <name val="Calibri"/>
      <family val="2"/>
      <scheme val="minor"/>
    </font>
    <font>
      <b/>
      <sz val="11"/>
      <name val="Arial"/>
      <family val="2"/>
    </font>
    <font>
      <sz val="11"/>
      <name val="Arial"/>
      <family val="2"/>
    </font>
    <font>
      <sz val="10"/>
      <color indexed="57"/>
      <name val="Arial"/>
      <family val="2"/>
    </font>
    <font>
      <sz val="10"/>
      <color indexed="53"/>
      <name val="Arial"/>
      <family val="2"/>
    </font>
    <font>
      <i/>
      <sz val="10"/>
      <name val="Arial"/>
      <family val="2"/>
    </font>
    <font>
      <sz val="9"/>
      <name val="Arial"/>
      <family val="2"/>
    </font>
    <font>
      <b/>
      <sz val="10"/>
      <color indexed="61"/>
      <name val="Arial"/>
      <family val="2"/>
    </font>
    <font>
      <sz val="10"/>
      <name val="Symbol"/>
      <family val="1"/>
      <charset val="2"/>
    </font>
    <font>
      <b/>
      <sz val="10"/>
      <color rgb="FF0000FF"/>
      <name val="Arial"/>
      <family val="2"/>
    </font>
    <font>
      <b/>
      <sz val="10"/>
      <color rgb="FFFF0000"/>
      <name val="Arial"/>
      <family val="2"/>
    </font>
    <font>
      <b/>
      <sz val="8"/>
      <color rgb="FFFF0000"/>
      <name val="Arial"/>
      <family val="2"/>
    </font>
    <font>
      <b/>
      <sz val="9"/>
      <color rgb="FFFF0000"/>
      <name val="Arial"/>
      <family val="2"/>
    </font>
    <font>
      <sz val="10"/>
      <name val="Calibri"/>
      <family val="2"/>
      <scheme val="minor"/>
    </font>
    <font>
      <b/>
      <sz val="9"/>
      <name val="Symbol"/>
      <family val="1"/>
      <charset val="2"/>
    </font>
    <font>
      <sz val="10"/>
      <color theme="1"/>
      <name val="Calibri"/>
      <family val="2"/>
      <scheme val="minor"/>
    </font>
    <font>
      <sz val="10"/>
      <color theme="1"/>
      <name val="Calibri"/>
      <family val="2"/>
    </font>
    <font>
      <sz val="10"/>
      <color theme="1"/>
      <name val="Symbol"/>
      <family val="1"/>
      <charset val="2"/>
    </font>
    <font>
      <b/>
      <sz val="11"/>
      <color rgb="FF990099"/>
      <name val="Calibri"/>
      <family val="2"/>
      <scheme val="minor"/>
    </font>
    <font>
      <b/>
      <sz val="10"/>
      <color rgb="FFFF0000"/>
      <name val="Symbol"/>
      <family val="1"/>
      <charset val="2"/>
    </font>
    <font>
      <sz val="9"/>
      <color indexed="81"/>
      <name val="Tahoma"/>
      <charset val="1"/>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22"/>
        <bgColor indexed="64"/>
      </patternFill>
    </fill>
  </fills>
  <borders count="4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8" fillId="0" borderId="0"/>
  </cellStyleXfs>
  <cellXfs count="273">
    <xf numFmtId="0" fontId="0" fillId="0" borderId="0" xfId="0"/>
    <xf numFmtId="0" fontId="0" fillId="0" borderId="0" xfId="0" applyAlignment="1">
      <alignment horizontal="center"/>
    </xf>
    <xf numFmtId="0" fontId="0" fillId="0" borderId="0" xfId="0" applyAlignment="1">
      <alignment horizontal="left"/>
    </xf>
    <xf numFmtId="0" fontId="0" fillId="3" borderId="0" xfId="0" applyFill="1"/>
    <xf numFmtId="0" fontId="0" fillId="3" borderId="0" xfId="0" applyFill="1" applyAlignment="1">
      <alignment horizontal="right"/>
    </xf>
    <xf numFmtId="0" fontId="0" fillId="3" borderId="0" xfId="0" applyFill="1" applyAlignment="1">
      <alignment horizontal="center"/>
    </xf>
    <xf numFmtId="0" fontId="0" fillId="3" borderId="0" xfId="0" applyFill="1" applyAlignment="1">
      <alignment horizontal="left"/>
    </xf>
    <xf numFmtId="0" fontId="0" fillId="3" borderId="0" xfId="0" applyFill="1" applyBorder="1"/>
    <xf numFmtId="0" fontId="0" fillId="3" borderId="4" xfId="0" applyFill="1" applyBorder="1"/>
    <xf numFmtId="0" fontId="0" fillId="2" borderId="4" xfId="0" applyFill="1" applyBorder="1" applyAlignment="1">
      <alignment horizontal="center"/>
    </xf>
    <xf numFmtId="0" fontId="0" fillId="2" borderId="0" xfId="0" applyFill="1" applyBorder="1" applyAlignment="1">
      <alignment horizontal="center"/>
    </xf>
    <xf numFmtId="1" fontId="0" fillId="2" borderId="4" xfId="0" applyNumberFormat="1" applyFill="1" applyBorder="1" applyAlignment="1">
      <alignment horizontal="center"/>
    </xf>
    <xf numFmtId="0" fontId="5" fillId="0" borderId="2" xfId="0" applyFont="1" applyBorder="1" applyAlignment="1">
      <alignment horizontal="center"/>
    </xf>
    <xf numFmtId="1" fontId="2" fillId="4" borderId="2" xfId="0" applyNumberFormat="1" applyFont="1" applyFill="1" applyBorder="1" applyAlignment="1">
      <alignment horizontal="center"/>
    </xf>
    <xf numFmtId="0" fontId="6" fillId="4" borderId="3" xfId="0" applyFont="1" applyFill="1" applyBorder="1" applyAlignment="1">
      <alignment horizontal="center"/>
    </xf>
    <xf numFmtId="0" fontId="0" fillId="0" borderId="0" xfId="0" applyFill="1"/>
    <xf numFmtId="0" fontId="0" fillId="4" borderId="6" xfId="0" applyFill="1" applyBorder="1"/>
    <xf numFmtId="0" fontId="0" fillId="4" borderId="6" xfId="0" applyFill="1" applyBorder="1" applyAlignment="1">
      <alignment horizontal="center"/>
    </xf>
    <xf numFmtId="0" fontId="0" fillId="4" borderId="6" xfId="0" applyFill="1" applyBorder="1" applyAlignment="1">
      <alignment horizontal="left"/>
    </xf>
    <xf numFmtId="0" fontId="0" fillId="3" borderId="4" xfId="0" applyFill="1" applyBorder="1" applyAlignment="1">
      <alignment horizontal="left"/>
    </xf>
    <xf numFmtId="0" fontId="0" fillId="3" borderId="5" xfId="0" applyFill="1" applyBorder="1" applyAlignment="1">
      <alignment horizontal="right"/>
    </xf>
    <xf numFmtId="0" fontId="7" fillId="3" borderId="0" xfId="0" applyFont="1" applyFill="1"/>
    <xf numFmtId="0" fontId="8" fillId="3" borderId="0" xfId="0" applyFont="1" applyFill="1"/>
    <xf numFmtId="0" fontId="10" fillId="4" borderId="6" xfId="0" applyFont="1" applyFill="1" applyBorder="1"/>
    <xf numFmtId="0" fontId="0" fillId="3" borderId="8" xfId="0" applyFill="1" applyBorder="1"/>
    <xf numFmtId="0" fontId="0" fillId="3" borderId="6" xfId="0" applyFill="1" applyBorder="1"/>
    <xf numFmtId="0" fontId="0" fillId="3" borderId="8" xfId="0" applyFill="1" applyBorder="1" applyAlignment="1">
      <alignment horizontal="right"/>
    </xf>
    <xf numFmtId="0" fontId="0" fillId="3" borderId="0" xfId="0" applyFill="1" applyBorder="1" applyAlignment="1">
      <alignment horizontal="right"/>
    </xf>
    <xf numFmtId="0" fontId="5" fillId="0" borderId="3" xfId="0" applyFont="1" applyBorder="1" applyAlignment="1">
      <alignment horizontal="center"/>
    </xf>
    <xf numFmtId="1" fontId="2" fillId="4" borderId="9" xfId="0" applyNumberFormat="1" applyFont="1" applyFill="1" applyBorder="1" applyAlignment="1">
      <alignment horizontal="center"/>
    </xf>
    <xf numFmtId="0" fontId="0" fillId="3" borderId="11" xfId="0" applyFill="1" applyBorder="1"/>
    <xf numFmtId="0" fontId="0" fillId="3" borderId="12" xfId="0" applyFill="1" applyBorder="1" applyAlignment="1">
      <alignment horizontal="right"/>
    </xf>
    <xf numFmtId="0" fontId="0" fillId="3" borderId="13" xfId="0" applyFill="1" applyBorder="1"/>
    <xf numFmtId="0" fontId="0" fillId="3" borderId="7" xfId="0" applyFill="1" applyBorder="1" applyAlignment="1">
      <alignment horizontal="right"/>
    </xf>
    <xf numFmtId="0" fontId="2" fillId="2" borderId="1" xfId="0" applyFont="1" applyFill="1" applyBorder="1" applyAlignment="1">
      <alignment horizontal="left"/>
    </xf>
    <xf numFmtId="0" fontId="2" fillId="2" borderId="2" xfId="0" applyFont="1" applyFill="1" applyBorder="1" applyAlignment="1">
      <alignment horizontal="left"/>
    </xf>
    <xf numFmtId="0" fontId="2" fillId="2" borderId="3" xfId="0" applyFont="1" applyFill="1" applyBorder="1" applyAlignment="1">
      <alignment horizontal="left"/>
    </xf>
    <xf numFmtId="0" fontId="3" fillId="2" borderId="14" xfId="0" applyFont="1" applyFill="1" applyBorder="1" applyAlignment="1">
      <alignment horizontal="center"/>
    </xf>
    <xf numFmtId="0" fontId="3" fillId="2" borderId="15" xfId="0" applyFont="1" applyFill="1" applyBorder="1" applyAlignment="1">
      <alignment horizontal="center"/>
    </xf>
    <xf numFmtId="0" fontId="11" fillId="3" borderId="11" xfId="0" applyFont="1" applyFill="1" applyBorder="1" applyAlignment="1">
      <alignment horizontal="right" vertical="center" wrapText="1"/>
    </xf>
    <xf numFmtId="0" fontId="11" fillId="3" borderId="4" xfId="0" applyFont="1" applyFill="1" applyBorder="1" applyAlignment="1">
      <alignment horizontal="right" vertical="center" wrapText="1"/>
    </xf>
    <xf numFmtId="0" fontId="11" fillId="3" borderId="13" xfId="0" applyFont="1" applyFill="1" applyBorder="1" applyAlignment="1">
      <alignment horizontal="right" vertical="center" wrapText="1"/>
    </xf>
    <xf numFmtId="0" fontId="15" fillId="3" borderId="0" xfId="0" applyFont="1" applyFill="1" applyBorder="1" applyAlignment="1">
      <alignment horizontal="left"/>
    </xf>
    <xf numFmtId="0" fontId="15" fillId="3" borderId="8" xfId="0" applyFont="1" applyFill="1" applyBorder="1" applyAlignment="1">
      <alignment horizontal="left"/>
    </xf>
    <xf numFmtId="0" fontId="6" fillId="3" borderId="0" xfId="0" applyFont="1" applyFill="1" applyBorder="1" applyAlignment="1">
      <alignment horizontal="center"/>
    </xf>
    <xf numFmtId="0" fontId="2" fillId="4" borderId="9" xfId="0" applyNumberFormat="1" applyFont="1" applyFill="1" applyBorder="1" applyAlignment="1">
      <alignment horizontal="center"/>
    </xf>
    <xf numFmtId="1" fontId="0" fillId="2" borderId="6" xfId="0" applyNumberFormat="1" applyFill="1" applyBorder="1" applyAlignment="1">
      <alignment horizontal="center"/>
    </xf>
    <xf numFmtId="0" fontId="0" fillId="2" borderId="1" xfId="0" applyFill="1" applyBorder="1" applyAlignment="1">
      <alignment horizontal="left"/>
    </xf>
    <xf numFmtId="2" fontId="0" fillId="2" borderId="2" xfId="0" applyNumberFormat="1" applyFill="1" applyBorder="1" applyAlignment="1">
      <alignment horizontal="left"/>
    </xf>
    <xf numFmtId="0" fontId="0" fillId="2" borderId="2" xfId="0" applyFill="1" applyBorder="1" applyAlignment="1">
      <alignment horizontal="left"/>
    </xf>
    <xf numFmtId="0" fontId="0" fillId="2" borderId="3" xfId="0" applyFill="1" applyBorder="1" applyAlignment="1">
      <alignment horizontal="left"/>
    </xf>
    <xf numFmtId="0" fontId="0" fillId="2" borderId="0" xfId="0" applyFill="1"/>
    <xf numFmtId="0" fontId="2" fillId="4" borderId="1" xfId="0" applyNumberFormat="1" applyFont="1" applyFill="1" applyBorder="1" applyAlignment="1">
      <alignment horizontal="center"/>
    </xf>
    <xf numFmtId="0" fontId="11" fillId="3" borderId="12" xfId="0" applyFont="1" applyFill="1" applyBorder="1" applyAlignment="1">
      <alignment horizontal="right"/>
    </xf>
    <xf numFmtId="0" fontId="0" fillId="2" borderId="0" xfId="0" applyFill="1" applyAlignment="1">
      <alignment horizontal="center"/>
    </xf>
    <xf numFmtId="0" fontId="0" fillId="3" borderId="0" xfId="0" applyFont="1" applyFill="1"/>
    <xf numFmtId="0" fontId="15" fillId="3" borderId="0" xfId="0" applyFont="1" applyFill="1"/>
    <xf numFmtId="0" fontId="17" fillId="3" borderId="0" xfId="0" applyFont="1" applyFill="1"/>
    <xf numFmtId="0" fontId="17" fillId="2" borderId="0" xfId="0" applyFont="1" applyFill="1"/>
    <xf numFmtId="0" fontId="18" fillId="3" borderId="0" xfId="0" applyFont="1" applyFill="1"/>
    <xf numFmtId="16" fontId="0" fillId="3" borderId="0" xfId="0" applyNumberFormat="1" applyFill="1" applyAlignment="1">
      <alignment horizontal="center"/>
    </xf>
    <xf numFmtId="0" fontId="5" fillId="0" borderId="1" xfId="0" applyFont="1" applyBorder="1" applyAlignment="1">
      <alignment horizontal="center"/>
    </xf>
    <xf numFmtId="0" fontId="2" fillId="4" borderId="2" xfId="0" applyFont="1" applyFill="1" applyBorder="1" applyAlignment="1">
      <alignment horizontal="left"/>
    </xf>
    <xf numFmtId="0" fontId="3" fillId="2" borderId="10" xfId="0" applyFont="1" applyFill="1" applyBorder="1" applyAlignment="1">
      <alignment horizontal="left"/>
    </xf>
    <xf numFmtId="0" fontId="17" fillId="3" borderId="13" xfId="0" applyFont="1" applyFill="1" applyBorder="1"/>
    <xf numFmtId="0" fontId="17" fillId="3" borderId="4" xfId="0" applyFont="1" applyFill="1" applyBorder="1"/>
    <xf numFmtId="0" fontId="20" fillId="0" borderId="10" xfId="0" applyFont="1" applyFill="1" applyBorder="1" applyAlignment="1">
      <alignment horizontal="center"/>
    </xf>
    <xf numFmtId="0" fontId="20" fillId="0" borderId="10" xfId="0" applyFont="1" applyBorder="1" applyAlignment="1">
      <alignment horizontal="center"/>
    </xf>
    <xf numFmtId="0" fontId="0" fillId="3" borderId="14" xfId="0" applyFont="1" applyFill="1" applyBorder="1"/>
    <xf numFmtId="0" fontId="0" fillId="3" borderId="16" xfId="0" applyFill="1" applyBorder="1" applyAlignment="1">
      <alignment horizontal="right"/>
    </xf>
    <xf numFmtId="0" fontId="17" fillId="3" borderId="0" xfId="0" applyFont="1" applyFill="1" applyBorder="1"/>
    <xf numFmtId="0" fontId="2" fillId="2" borderId="10" xfId="0" applyFont="1" applyFill="1" applyBorder="1" applyAlignment="1">
      <alignment horizontal="left"/>
    </xf>
    <xf numFmtId="0" fontId="2" fillId="3" borderId="0" xfId="0" applyFont="1" applyFill="1" applyAlignment="1">
      <alignment horizontal="left"/>
    </xf>
    <xf numFmtId="0" fontId="0" fillId="3" borderId="14" xfId="0" applyFill="1" applyBorder="1"/>
    <xf numFmtId="0" fontId="0" fillId="2" borderId="8" xfId="0" applyFill="1" applyBorder="1" applyAlignment="1">
      <alignment horizontal="center"/>
    </xf>
    <xf numFmtId="0" fontId="0" fillId="2" borderId="13" xfId="0" applyFill="1" applyBorder="1" applyAlignment="1">
      <alignment horizontal="center"/>
    </xf>
    <xf numFmtId="0" fontId="0" fillId="2" borderId="6" xfId="0" applyFill="1" applyBorder="1" applyAlignment="1">
      <alignment horizontal="center"/>
    </xf>
    <xf numFmtId="0" fontId="0" fillId="3" borderId="13" xfId="0" applyFont="1" applyFill="1" applyBorder="1" applyAlignment="1">
      <alignment vertical="top" wrapText="1"/>
    </xf>
    <xf numFmtId="0" fontId="0" fillId="3" borderId="6" xfId="0" applyFont="1" applyFill="1" applyBorder="1" applyAlignment="1">
      <alignment vertical="top" wrapText="1"/>
    </xf>
    <xf numFmtId="1" fontId="2" fillId="4" borderId="1" xfId="0" applyNumberFormat="1" applyFont="1" applyFill="1" applyBorder="1" applyAlignment="1">
      <alignment horizontal="center"/>
    </xf>
    <xf numFmtId="0" fontId="0" fillId="3" borderId="18" xfId="0" applyFill="1" applyBorder="1"/>
    <xf numFmtId="0" fontId="6" fillId="4" borderId="17" xfId="0" applyFont="1" applyFill="1" applyBorder="1" applyAlignment="1">
      <alignment horizontal="center"/>
    </xf>
    <xf numFmtId="0" fontId="11" fillId="3" borderId="7" xfId="0" applyFont="1" applyFill="1" applyBorder="1" applyAlignment="1">
      <alignment horizontal="right"/>
    </xf>
    <xf numFmtId="0" fontId="20" fillId="0" borderId="7" xfId="0" applyFont="1" applyBorder="1" applyAlignment="1">
      <alignment horizontal="center"/>
    </xf>
    <xf numFmtId="0" fontId="20" fillId="0" borderId="3" xfId="0" applyFont="1" applyFill="1" applyBorder="1" applyAlignment="1">
      <alignment horizontal="center"/>
    </xf>
    <xf numFmtId="0" fontId="0" fillId="3" borderId="19" xfId="0" applyFill="1" applyBorder="1"/>
    <xf numFmtId="0" fontId="5" fillId="0" borderId="17" xfId="0" applyFont="1" applyBorder="1" applyAlignment="1">
      <alignment horizontal="center"/>
    </xf>
    <xf numFmtId="0" fontId="3" fillId="0" borderId="10" xfId="0" applyFont="1" applyFill="1" applyBorder="1" applyAlignment="1">
      <alignment horizontal="center"/>
    </xf>
    <xf numFmtId="0" fontId="0" fillId="3" borderId="15" xfId="0" applyFill="1" applyBorder="1"/>
    <xf numFmtId="0" fontId="15" fillId="3" borderId="3" xfId="0" applyFont="1" applyFill="1" applyBorder="1" applyAlignment="1">
      <alignment horizontal="left"/>
    </xf>
    <xf numFmtId="0" fontId="5" fillId="0" borderId="5" xfId="0" applyFont="1" applyBorder="1" applyAlignment="1">
      <alignment horizontal="center"/>
    </xf>
    <xf numFmtId="0" fontId="5" fillId="0" borderId="20" xfId="0" applyFont="1" applyBorder="1" applyAlignment="1">
      <alignment horizontal="center"/>
    </xf>
    <xf numFmtId="0" fontId="0" fillId="3" borderId="5" xfId="0" applyFill="1" applyBorder="1" applyAlignment="1">
      <alignment horizontal="left"/>
    </xf>
    <xf numFmtId="0" fontId="20" fillId="0" borderId="2" xfId="0" applyFont="1" applyBorder="1" applyAlignment="1">
      <alignment horizontal="center" vertical="center"/>
    </xf>
    <xf numFmtId="0" fontId="0" fillId="3" borderId="0" xfId="0" applyFill="1" applyBorder="1" applyAlignment="1">
      <alignment horizontal="left"/>
    </xf>
    <xf numFmtId="0" fontId="5" fillId="0" borderId="13" xfId="0" applyFont="1" applyBorder="1" applyAlignment="1">
      <alignment horizontal="center"/>
    </xf>
    <xf numFmtId="0" fontId="3" fillId="2" borderId="4" xfId="0" applyFont="1" applyFill="1" applyBorder="1" applyAlignment="1">
      <alignment horizontal="center"/>
    </xf>
    <xf numFmtId="0" fontId="0" fillId="4" borderId="0" xfId="0" applyFill="1" applyBorder="1"/>
    <xf numFmtId="0" fontId="0" fillId="4" borderId="0" xfId="0" applyFill="1" applyBorder="1" applyAlignment="1">
      <alignment horizontal="right"/>
    </xf>
    <xf numFmtId="0" fontId="0" fillId="4" borderId="0" xfId="0" applyFont="1" applyFill="1" applyBorder="1" applyAlignment="1">
      <alignment horizontal="right"/>
    </xf>
    <xf numFmtId="1" fontId="0" fillId="2" borderId="3" xfId="0" applyNumberFormat="1" applyFill="1" applyBorder="1" applyAlignment="1">
      <alignment horizontal="left"/>
    </xf>
    <xf numFmtId="1" fontId="2" fillId="0" borderId="23" xfId="0" applyNumberFormat="1" applyFont="1" applyFill="1" applyBorder="1" applyAlignment="1">
      <alignment horizontal="center"/>
    </xf>
    <xf numFmtId="1" fontId="0" fillId="3" borderId="0" xfId="0" applyNumberFormat="1" applyFill="1" applyAlignment="1">
      <alignment horizontal="center"/>
    </xf>
    <xf numFmtId="1" fontId="0" fillId="2" borderId="2" xfId="0" applyNumberFormat="1" applyFill="1" applyBorder="1" applyAlignment="1">
      <alignment horizontal="left"/>
    </xf>
    <xf numFmtId="164" fontId="0" fillId="2" borderId="2" xfId="0" applyNumberFormat="1" applyFill="1" applyBorder="1" applyAlignment="1">
      <alignment horizontal="center"/>
    </xf>
    <xf numFmtId="164" fontId="0" fillId="2" borderId="3" xfId="0" applyNumberFormat="1" applyFill="1" applyBorder="1" applyAlignment="1">
      <alignment horizontal="center"/>
    </xf>
    <xf numFmtId="0" fontId="0" fillId="3" borderId="5" xfId="0" applyFont="1" applyFill="1" applyBorder="1" applyAlignment="1">
      <alignment horizontal="right"/>
    </xf>
    <xf numFmtId="0" fontId="0" fillId="3" borderId="7" xfId="0" applyFont="1" applyFill="1" applyBorder="1" applyAlignment="1">
      <alignment horizontal="right"/>
    </xf>
    <xf numFmtId="1" fontId="2" fillId="0" borderId="10" xfId="0" applyNumberFormat="1" applyFont="1" applyFill="1" applyBorder="1" applyAlignment="1">
      <alignment horizontal="center"/>
    </xf>
    <xf numFmtId="0" fontId="0" fillId="0" borderId="0" xfId="0" applyFill="1" applyAlignment="1">
      <alignment horizontal="center"/>
    </xf>
    <xf numFmtId="0" fontId="0" fillId="0" borderId="0" xfId="0" applyFill="1" applyAlignment="1">
      <alignment horizontal="left"/>
    </xf>
    <xf numFmtId="0" fontId="32" fillId="2" borderId="2" xfId="0" applyFont="1" applyFill="1" applyBorder="1" applyAlignment="1">
      <alignment horizontal="left"/>
    </xf>
    <xf numFmtId="0" fontId="2" fillId="3" borderId="0" xfId="0" applyFont="1" applyFill="1"/>
    <xf numFmtId="0" fontId="0" fillId="4" borderId="21" xfId="0" applyFont="1" applyFill="1" applyBorder="1" applyAlignment="1">
      <alignment horizontal="right"/>
    </xf>
    <xf numFmtId="0" fontId="0" fillId="4" borderId="22" xfId="0" applyFont="1" applyFill="1" applyBorder="1" applyAlignment="1">
      <alignment horizontal="right"/>
    </xf>
    <xf numFmtId="0" fontId="0" fillId="3" borderId="0" xfId="0" applyFont="1" applyFill="1" applyBorder="1" applyAlignment="1">
      <alignment horizontal="right"/>
    </xf>
    <xf numFmtId="0" fontId="0" fillId="3" borderId="8" xfId="0" applyFill="1" applyBorder="1" applyAlignment="1">
      <alignment horizontal="center"/>
    </xf>
    <xf numFmtId="0" fontId="0" fillId="3" borderId="12" xfId="0" applyFill="1" applyBorder="1"/>
    <xf numFmtId="0" fontId="0" fillId="3" borderId="5" xfId="0" applyFill="1" applyBorder="1"/>
    <xf numFmtId="0" fontId="0" fillId="3" borderId="7" xfId="0" applyFill="1" applyBorder="1"/>
    <xf numFmtId="0" fontId="0" fillId="3" borderId="20" xfId="0" applyFill="1" applyBorder="1" applyAlignment="1">
      <alignment horizontal="right"/>
    </xf>
    <xf numFmtId="0" fontId="32" fillId="3" borderId="0" xfId="0" applyFont="1" applyFill="1"/>
    <xf numFmtId="0" fontId="0" fillId="4" borderId="4" xfId="0" applyFill="1" applyBorder="1"/>
    <xf numFmtId="0" fontId="2" fillId="2" borderId="5" xfId="0" applyFont="1" applyFill="1" applyBorder="1" applyAlignment="1">
      <alignment horizontal="left"/>
    </xf>
    <xf numFmtId="0" fontId="0" fillId="4" borderId="1" xfId="0" applyFont="1" applyFill="1" applyBorder="1" applyAlignment="1">
      <alignment horizontal="left"/>
    </xf>
    <xf numFmtId="0" fontId="0" fillId="4" borderId="3" xfId="0" applyFont="1" applyFill="1" applyBorder="1" applyAlignment="1">
      <alignment horizontal="left"/>
    </xf>
    <xf numFmtId="0" fontId="0" fillId="4" borderId="13" xfId="0" applyFill="1" applyBorder="1"/>
    <xf numFmtId="0" fontId="0" fillId="4" borderId="6" xfId="0" applyFont="1" applyFill="1" applyBorder="1" applyAlignment="1">
      <alignment horizontal="right"/>
    </xf>
    <xf numFmtId="164" fontId="2" fillId="0" borderId="23" xfId="0" applyNumberFormat="1" applyFont="1" applyFill="1" applyBorder="1" applyAlignment="1">
      <alignment horizontal="center"/>
    </xf>
    <xf numFmtId="0" fontId="0" fillId="3" borderId="7" xfId="0" applyFill="1" applyBorder="1" applyAlignment="1">
      <alignment horizontal="left"/>
    </xf>
    <xf numFmtId="0" fontId="0" fillId="4" borderId="14" xfId="0" applyFill="1" applyBorder="1"/>
    <xf numFmtId="0" fontId="0" fillId="4" borderId="15" xfId="0" applyFill="1" applyBorder="1"/>
    <xf numFmtId="0" fontId="0" fillId="4" borderId="15" xfId="0" applyFill="1" applyBorder="1" applyAlignment="1">
      <alignment horizontal="right"/>
    </xf>
    <xf numFmtId="0" fontId="11" fillId="4" borderId="16" xfId="0" applyFont="1" applyFill="1" applyBorder="1" applyAlignment="1">
      <alignment horizontal="right"/>
    </xf>
    <xf numFmtId="0" fontId="2" fillId="4" borderId="1" xfId="0" applyFont="1" applyFill="1" applyBorder="1" applyAlignment="1">
      <alignment horizontal="center"/>
    </xf>
    <xf numFmtId="0" fontId="2" fillId="4" borderId="3" xfId="0" applyFont="1" applyFill="1" applyBorder="1" applyAlignment="1">
      <alignment horizontal="center"/>
    </xf>
    <xf numFmtId="0" fontId="36" fillId="4" borderId="10" xfId="0" applyFont="1" applyFill="1" applyBorder="1" applyAlignment="1">
      <alignment horizontal="center"/>
    </xf>
    <xf numFmtId="0" fontId="3" fillId="4" borderId="10" xfId="0" applyFont="1" applyFill="1" applyBorder="1" applyAlignment="1">
      <alignment horizontal="center"/>
    </xf>
    <xf numFmtId="0" fontId="2" fillId="2" borderId="12" xfId="0" applyFont="1" applyFill="1" applyBorder="1" applyAlignment="1">
      <alignment horizontal="left"/>
    </xf>
    <xf numFmtId="0" fontId="2" fillId="2" borderId="7" xfId="0" applyFont="1" applyFill="1" applyBorder="1" applyAlignment="1">
      <alignment horizontal="left"/>
    </xf>
    <xf numFmtId="2" fontId="2" fillId="4" borderId="1" xfId="0" applyNumberFormat="1" applyFont="1" applyFill="1" applyBorder="1" applyAlignment="1">
      <alignment horizontal="center"/>
    </xf>
    <xf numFmtId="0" fontId="36" fillId="4" borderId="1" xfId="0" applyFont="1" applyFill="1" applyBorder="1" applyAlignment="1">
      <alignment horizontal="center"/>
    </xf>
    <xf numFmtId="0" fontId="36" fillId="4" borderId="3" xfId="0" applyFont="1" applyFill="1" applyBorder="1" applyAlignment="1">
      <alignment horizontal="center"/>
    </xf>
    <xf numFmtId="0" fontId="0" fillId="3" borderId="12" xfId="0" applyFill="1" applyBorder="1" applyAlignment="1">
      <alignment horizontal="center"/>
    </xf>
    <xf numFmtId="0" fontId="0" fillId="3" borderId="0" xfId="0" applyFill="1" applyBorder="1" applyAlignment="1">
      <alignment horizontal="center"/>
    </xf>
    <xf numFmtId="0" fontId="0" fillId="3" borderId="5" xfId="0" applyFill="1" applyBorder="1" applyAlignment="1">
      <alignment horizontal="center"/>
    </xf>
    <xf numFmtId="9" fontId="0" fillId="3" borderId="0" xfId="0" applyNumberFormat="1"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2" fontId="2" fillId="4" borderId="3" xfId="0" applyNumberFormat="1" applyFont="1" applyFill="1" applyBorder="1" applyAlignment="1">
      <alignment horizontal="center"/>
    </xf>
    <xf numFmtId="164" fontId="2" fillId="4" borderId="3" xfId="0" applyNumberFormat="1" applyFont="1" applyFill="1" applyBorder="1" applyAlignment="1">
      <alignment horizontal="center"/>
    </xf>
    <xf numFmtId="164" fontId="0" fillId="0" borderId="0" xfId="0" applyNumberFormat="1" applyFill="1"/>
    <xf numFmtId="164" fontId="0" fillId="3" borderId="0" xfId="0" applyNumberFormat="1" applyFill="1"/>
    <xf numFmtId="164" fontId="0" fillId="3" borderId="0" xfId="0" applyNumberFormat="1" applyFill="1" applyAlignment="1">
      <alignment horizontal="left"/>
    </xf>
    <xf numFmtId="2" fontId="2" fillId="4" borderId="2" xfId="0" applyNumberFormat="1" applyFont="1" applyFill="1" applyBorder="1" applyAlignment="1">
      <alignment horizontal="center"/>
    </xf>
    <xf numFmtId="0" fontId="8" fillId="0" borderId="0" xfId="1" applyFont="1"/>
    <xf numFmtId="0" fontId="39" fillId="0" borderId="0" xfId="1" applyFont="1"/>
    <xf numFmtId="0" fontId="8" fillId="3" borderId="8" xfId="1" applyFill="1" applyBorder="1"/>
    <xf numFmtId="0" fontId="8" fillId="3" borderId="8" xfId="1" applyFill="1" applyBorder="1" applyAlignment="1">
      <alignment horizontal="right"/>
    </xf>
    <xf numFmtId="0" fontId="8" fillId="3" borderId="8" xfId="1" applyFill="1" applyBorder="1" applyAlignment="1">
      <alignment horizontal="center"/>
    </xf>
    <xf numFmtId="0" fontId="39" fillId="3" borderId="8" xfId="1" applyFont="1" applyFill="1" applyBorder="1"/>
    <xf numFmtId="0" fontId="8" fillId="3" borderId="4" xfId="1" applyFill="1" applyBorder="1"/>
    <xf numFmtId="0" fontId="8" fillId="3" borderId="0" xfId="1" applyFill="1" applyBorder="1"/>
    <xf numFmtId="0" fontId="20" fillId="0" borderId="10" xfId="1" applyFont="1" applyFill="1" applyBorder="1" applyAlignment="1">
      <alignment horizontal="center"/>
    </xf>
    <xf numFmtId="0" fontId="39" fillId="3" borderId="0" xfId="1" applyFont="1" applyFill="1" applyBorder="1"/>
    <xf numFmtId="0" fontId="3" fillId="4" borderId="10" xfId="1" applyFont="1" applyFill="1" applyBorder="1" applyAlignment="1">
      <alignment horizontal="center"/>
    </xf>
    <xf numFmtId="0" fontId="8" fillId="3" borderId="0" xfId="1" applyFill="1" applyBorder="1" applyAlignment="1">
      <alignment horizontal="center"/>
    </xf>
    <xf numFmtId="0" fontId="8" fillId="3" borderId="0" xfId="1" applyFont="1" applyFill="1" applyBorder="1"/>
    <xf numFmtId="0" fontId="8" fillId="3" borderId="13" xfId="1" applyFill="1" applyBorder="1"/>
    <xf numFmtId="0" fontId="8" fillId="3" borderId="6" xfId="1" applyFill="1" applyBorder="1"/>
    <xf numFmtId="0" fontId="8" fillId="3" borderId="6" xfId="1" applyFill="1" applyBorder="1" applyAlignment="1">
      <alignment horizontal="center"/>
    </xf>
    <xf numFmtId="0" fontId="8" fillId="3" borderId="6" xfId="1" applyFont="1" applyFill="1" applyBorder="1"/>
    <xf numFmtId="0" fontId="8" fillId="0" borderId="0" xfId="1"/>
    <xf numFmtId="0" fontId="45" fillId="0" borderId="3" xfId="1" applyFont="1" applyBorder="1" applyAlignment="1">
      <alignment horizontal="center"/>
    </xf>
    <xf numFmtId="0" fontId="45" fillId="0" borderId="6" xfId="1" applyNumberFormat="1" applyFont="1" applyBorder="1" applyAlignment="1">
      <alignment horizontal="center"/>
    </xf>
    <xf numFmtId="1" fontId="46" fillId="4" borderId="13" xfId="1" applyNumberFormat="1" applyFont="1" applyFill="1" applyBorder="1" applyAlignment="1">
      <alignment horizontal="center"/>
    </xf>
    <xf numFmtId="0" fontId="43" fillId="5" borderId="25" xfId="1" applyNumberFormat="1" applyFont="1" applyFill="1" applyBorder="1" applyAlignment="1">
      <alignment horizontal="center"/>
    </xf>
    <xf numFmtId="0" fontId="48" fillId="5" borderId="25" xfId="1" applyNumberFormat="1" applyFont="1" applyFill="1" applyBorder="1" applyAlignment="1">
      <alignment horizontal="left"/>
    </xf>
    <xf numFmtId="1" fontId="42" fillId="4" borderId="24" xfId="1" applyNumberFormat="1" applyFont="1" applyFill="1" applyBorder="1" applyAlignment="1">
      <alignment horizontal="center"/>
    </xf>
    <xf numFmtId="164" fontId="46" fillId="4" borderId="22" xfId="1" applyNumberFormat="1" applyFont="1" applyFill="1" applyBorder="1" applyAlignment="1">
      <alignment horizontal="center"/>
    </xf>
    <xf numFmtId="1" fontId="46" fillId="4" borderId="29" xfId="1" applyNumberFormat="1" applyFont="1" applyFill="1" applyBorder="1" applyAlignment="1">
      <alignment horizontal="center"/>
    </xf>
    <xf numFmtId="1" fontId="46" fillId="4" borderId="22" xfId="1" applyNumberFormat="1" applyFont="1" applyFill="1" applyBorder="1" applyAlignment="1">
      <alignment horizontal="center"/>
    </xf>
    <xf numFmtId="1" fontId="42" fillId="4" borderId="33" xfId="1" applyNumberFormat="1" applyFont="1" applyFill="1" applyBorder="1" applyAlignment="1">
      <alignment horizontal="center"/>
    </xf>
    <xf numFmtId="1" fontId="42" fillId="4" borderId="40" xfId="1" applyNumberFormat="1" applyFont="1" applyFill="1" applyBorder="1" applyAlignment="1">
      <alignment horizontal="center"/>
    </xf>
    <xf numFmtId="0" fontId="45" fillId="0" borderId="32" xfId="1" applyFont="1" applyBorder="1" applyAlignment="1">
      <alignment horizontal="center"/>
    </xf>
    <xf numFmtId="0" fontId="45" fillId="0" borderId="7" xfId="1" applyNumberFormat="1" applyFont="1" applyBorder="1" applyAlignment="1">
      <alignment horizontal="center"/>
    </xf>
    <xf numFmtId="0" fontId="45" fillId="0" borderId="30" xfId="1" applyFont="1" applyBorder="1" applyAlignment="1">
      <alignment horizontal="center"/>
    </xf>
    <xf numFmtId="0" fontId="43" fillId="5" borderId="34" xfId="1" applyNumberFormat="1" applyFont="1" applyFill="1" applyBorder="1" applyAlignment="1">
      <alignment horizontal="center"/>
    </xf>
    <xf numFmtId="0" fontId="45" fillId="0" borderId="22" xfId="1" applyNumberFormat="1" applyFont="1" applyBorder="1" applyAlignment="1">
      <alignment horizontal="center"/>
    </xf>
    <xf numFmtId="0" fontId="8" fillId="3" borderId="0" xfId="1" applyFont="1" applyFill="1"/>
    <xf numFmtId="0" fontId="39" fillId="3" borderId="0" xfId="1" applyFont="1" applyFill="1"/>
    <xf numFmtId="0" fontId="8" fillId="3" borderId="0" xfId="1" applyFill="1"/>
    <xf numFmtId="0" fontId="43" fillId="3" borderId="33" xfId="1" applyFont="1" applyFill="1" applyBorder="1" applyAlignment="1">
      <alignment horizontal="center"/>
    </xf>
    <xf numFmtId="0" fontId="43" fillId="3" borderId="25" xfId="1" applyFont="1" applyFill="1" applyBorder="1" applyAlignment="1">
      <alignment horizontal="center"/>
    </xf>
    <xf numFmtId="0" fontId="8" fillId="3" borderId="0" xfId="1" applyFont="1" applyFill="1" applyBorder="1" applyAlignment="1">
      <alignment horizontal="center" wrapText="1"/>
    </xf>
    <xf numFmtId="0" fontId="8" fillId="3" borderId="0" xfId="1" applyFill="1" applyBorder="1" applyAlignment="1">
      <alignment wrapText="1"/>
    </xf>
    <xf numFmtId="0" fontId="8" fillId="3" borderId="0" xfId="1" applyFont="1" applyFill="1" applyBorder="1" applyAlignment="1">
      <alignment wrapText="1"/>
    </xf>
    <xf numFmtId="0" fontId="42" fillId="3" borderId="0" xfId="1" applyFont="1" applyFill="1" applyBorder="1" applyAlignment="1">
      <alignment wrapText="1"/>
    </xf>
    <xf numFmtId="0" fontId="8" fillId="3" borderId="0" xfId="1" applyFill="1" applyBorder="1" applyAlignment="1">
      <alignment horizontal="center" wrapText="1"/>
    </xf>
    <xf numFmtId="0" fontId="42" fillId="3" borderId="31" xfId="1" applyFont="1" applyFill="1" applyBorder="1" applyAlignment="1">
      <alignment horizontal="center" wrapText="1"/>
    </xf>
    <xf numFmtId="0" fontId="38" fillId="0" borderId="0" xfId="1" applyFont="1" applyBorder="1"/>
    <xf numFmtId="0" fontId="38" fillId="4" borderId="6" xfId="1" applyFont="1" applyFill="1" applyBorder="1"/>
    <xf numFmtId="0" fontId="37" fillId="4" borderId="6" xfId="1" applyFont="1" applyFill="1" applyBorder="1"/>
    <xf numFmtId="0" fontId="40" fillId="3" borderId="0" xfId="1" applyFont="1" applyFill="1"/>
    <xf numFmtId="0" fontId="43" fillId="4" borderId="27" xfId="1" applyFont="1" applyFill="1" applyBorder="1" applyAlignment="1">
      <alignment horizontal="right"/>
    </xf>
    <xf numFmtId="0" fontId="8" fillId="4" borderId="28" xfId="1" applyFont="1" applyFill="1" applyBorder="1" applyAlignment="1">
      <alignment wrapText="1"/>
    </xf>
    <xf numFmtId="0" fontId="49" fillId="3" borderId="0" xfId="1" applyFont="1" applyFill="1" applyBorder="1" applyAlignment="1">
      <alignment horizontal="right"/>
    </xf>
    <xf numFmtId="0" fontId="49" fillId="3" borderId="0" xfId="1" applyFont="1" applyFill="1" applyBorder="1"/>
    <xf numFmtId="0" fontId="51" fillId="3" borderId="6" xfId="0" applyFont="1" applyFill="1" applyBorder="1" applyAlignment="1">
      <alignment horizontal="right"/>
    </xf>
    <xf numFmtId="0" fontId="51" fillId="3" borderId="7" xfId="0" applyFont="1" applyFill="1" applyBorder="1" applyAlignment="1">
      <alignment horizontal="left"/>
    </xf>
    <xf numFmtId="0" fontId="15" fillId="3" borderId="11" xfId="1" applyFont="1" applyFill="1" applyBorder="1"/>
    <xf numFmtId="164" fontId="46" fillId="4" borderId="7" xfId="1" applyNumberFormat="1" applyFont="1" applyFill="1" applyBorder="1" applyAlignment="1">
      <alignment horizontal="center"/>
    </xf>
    <xf numFmtId="0" fontId="42" fillId="3" borderId="20" xfId="1" applyFont="1" applyFill="1" applyBorder="1" applyAlignment="1">
      <alignment horizontal="center" wrapText="1"/>
    </xf>
    <xf numFmtId="0" fontId="43" fillId="4" borderId="0" xfId="1" applyFont="1" applyFill="1" applyBorder="1" applyAlignment="1">
      <alignment horizontal="center"/>
    </xf>
    <xf numFmtId="0" fontId="42" fillId="3" borderId="0" xfId="1" applyFont="1" applyFill="1"/>
    <xf numFmtId="0" fontId="23" fillId="3" borderId="5" xfId="0" applyFont="1" applyFill="1" applyBorder="1" applyAlignment="1">
      <alignment horizontal="center"/>
    </xf>
    <xf numFmtId="0" fontId="23" fillId="3" borderId="2" xfId="0" applyFont="1" applyFill="1" applyBorder="1" applyAlignment="1">
      <alignment horizontal="center"/>
    </xf>
    <xf numFmtId="0" fontId="2" fillId="4" borderId="4" xfId="0" applyFont="1" applyFill="1" applyBorder="1" applyAlignment="1">
      <alignment horizontal="center"/>
    </xf>
    <xf numFmtId="0" fontId="2" fillId="4" borderId="0" xfId="0" applyFont="1" applyFill="1" applyBorder="1" applyAlignment="1">
      <alignment horizontal="center"/>
    </xf>
    <xf numFmtId="0" fontId="48" fillId="3" borderId="0" xfId="1" applyFont="1" applyFill="1" applyBorder="1" applyAlignment="1">
      <alignment horizontal="left"/>
    </xf>
    <xf numFmtId="0" fontId="2" fillId="4" borderId="2" xfId="0" applyFont="1" applyFill="1" applyBorder="1" applyAlignment="1">
      <alignment horizontal="center" vertical="center"/>
    </xf>
    <xf numFmtId="0" fontId="11" fillId="3" borderId="5" xfId="0" applyFont="1" applyFill="1" applyBorder="1" applyAlignment="1">
      <alignment horizontal="right"/>
    </xf>
    <xf numFmtId="1" fontId="2" fillId="3" borderId="2" xfId="0" applyNumberFormat="1" applyFont="1" applyFill="1" applyBorder="1" applyAlignment="1">
      <alignment horizontal="center"/>
    </xf>
    <xf numFmtId="1" fontId="2" fillId="3" borderId="9" xfId="0" applyNumberFormat="1" applyFont="1" applyFill="1" applyBorder="1" applyAlignment="1">
      <alignment horizontal="center"/>
    </xf>
    <xf numFmtId="0" fontId="6" fillId="3" borderId="13" xfId="0" applyFont="1" applyFill="1" applyBorder="1" applyAlignment="1">
      <alignment horizontal="center"/>
    </xf>
    <xf numFmtId="0" fontId="6" fillId="3" borderId="17" xfId="0" applyFont="1" applyFill="1" applyBorder="1" applyAlignment="1">
      <alignment horizontal="center"/>
    </xf>
    <xf numFmtId="0" fontId="2" fillId="0" borderId="2" xfId="0" applyFont="1" applyFill="1" applyBorder="1" applyAlignment="1">
      <alignment horizontal="left"/>
    </xf>
    <xf numFmtId="0" fontId="0" fillId="2" borderId="11" xfId="0" applyFill="1" applyBorder="1"/>
    <xf numFmtId="0" fontId="0" fillId="2" borderId="4" xfId="0" applyFill="1" applyBorder="1"/>
    <xf numFmtId="0" fontId="0" fillId="2" borderId="13" xfId="0" applyFill="1" applyBorder="1"/>
    <xf numFmtId="0" fontId="0" fillId="2" borderId="8" xfId="0" applyFill="1" applyBorder="1"/>
    <xf numFmtId="0" fontId="15" fillId="2" borderId="2" xfId="0" applyFont="1" applyFill="1" applyBorder="1" applyAlignment="1">
      <alignment horizontal="left"/>
    </xf>
    <xf numFmtId="0" fontId="39" fillId="3" borderId="12" xfId="1" applyFont="1" applyFill="1" applyBorder="1"/>
    <xf numFmtId="0" fontId="39" fillId="3" borderId="5" xfId="1" applyFont="1" applyFill="1" applyBorder="1"/>
    <xf numFmtId="0" fontId="8" fillId="3" borderId="5" xfId="1" applyFont="1" applyFill="1" applyBorder="1"/>
    <xf numFmtId="0" fontId="8" fillId="3" borderId="7" xfId="1" applyFont="1" applyFill="1" applyBorder="1"/>
    <xf numFmtId="0" fontId="45" fillId="0" borderId="7" xfId="1" applyFont="1" applyBorder="1" applyAlignment="1">
      <alignment horizontal="center"/>
    </xf>
    <xf numFmtId="0" fontId="47" fillId="5" borderId="25" xfId="1" applyNumberFormat="1" applyFont="1" applyFill="1" applyBorder="1" applyAlignment="1">
      <alignment horizontal="left"/>
    </xf>
    <xf numFmtId="0" fontId="43" fillId="3" borderId="34" xfId="1" applyFont="1" applyFill="1" applyBorder="1" applyAlignment="1">
      <alignment horizontal="center"/>
    </xf>
    <xf numFmtId="0" fontId="8" fillId="3" borderId="24" xfId="1" applyFont="1" applyFill="1" applyBorder="1" applyAlignment="1">
      <alignment horizontal="center"/>
    </xf>
    <xf numFmtId="0" fontId="8" fillId="3" borderId="44" xfId="1" applyFont="1" applyFill="1" applyBorder="1" applyAlignment="1">
      <alignment horizontal="right"/>
    </xf>
    <xf numFmtId="0" fontId="8" fillId="3" borderId="40" xfId="1" applyFont="1" applyFill="1" applyBorder="1" applyAlignment="1">
      <alignment horizontal="left"/>
    </xf>
    <xf numFmtId="0" fontId="8" fillId="3" borderId="46" xfId="1" applyFont="1" applyFill="1" applyBorder="1" applyAlignment="1">
      <alignment horizontal="right"/>
    </xf>
    <xf numFmtId="0" fontId="8" fillId="3" borderId="45" xfId="1" applyFont="1" applyFill="1" applyBorder="1" applyAlignment="1">
      <alignment horizontal="left"/>
    </xf>
    <xf numFmtId="0" fontId="0" fillId="3" borderId="4" xfId="0" applyFont="1" applyFill="1" applyBorder="1"/>
    <xf numFmtId="0" fontId="15" fillId="3" borderId="0" xfId="1" applyFont="1" applyFill="1" applyBorder="1" applyAlignment="1">
      <alignment horizontal="right"/>
    </xf>
    <xf numFmtId="0" fontId="8" fillId="3" borderId="44" xfId="1" applyFill="1" applyBorder="1" applyAlignment="1">
      <alignment horizontal="center" vertical="top"/>
    </xf>
    <xf numFmtId="0" fontId="8" fillId="3" borderId="45" xfId="1" applyFill="1" applyBorder="1" applyAlignment="1">
      <alignment horizontal="center" vertical="top"/>
    </xf>
    <xf numFmtId="0" fontId="0" fillId="3" borderId="26" xfId="0" applyFill="1" applyBorder="1" applyAlignment="1">
      <alignment horizontal="center"/>
    </xf>
    <xf numFmtId="0" fontId="8" fillId="3" borderId="41" xfId="1" applyFont="1" applyFill="1" applyBorder="1" applyAlignment="1">
      <alignment horizontal="center" wrapText="1"/>
    </xf>
    <xf numFmtId="0" fontId="8" fillId="3" borderId="31" xfId="1" applyFont="1" applyFill="1" applyBorder="1" applyAlignment="1">
      <alignment horizontal="center" wrapText="1"/>
    </xf>
    <xf numFmtId="0" fontId="8" fillId="3" borderId="35" xfId="1" applyFont="1" applyFill="1" applyBorder="1" applyAlignment="1">
      <alignment horizontal="center"/>
    </xf>
    <xf numFmtId="0" fontId="8" fillId="3" borderId="36" xfId="1" applyFont="1" applyFill="1" applyBorder="1" applyAlignment="1">
      <alignment horizontal="center"/>
    </xf>
    <xf numFmtId="0" fontId="8" fillId="3" borderId="37" xfId="1" applyFont="1" applyFill="1" applyBorder="1" applyAlignment="1">
      <alignment horizontal="center"/>
    </xf>
    <xf numFmtId="0" fontId="8" fillId="4" borderId="6" xfId="1" applyFont="1" applyFill="1" applyBorder="1" applyAlignment="1">
      <alignment horizontal="center"/>
    </xf>
    <xf numFmtId="0" fontId="8" fillId="4" borderId="30" xfId="1" applyFont="1" applyFill="1" applyBorder="1" applyAlignment="1">
      <alignment horizontal="center"/>
    </xf>
    <xf numFmtId="0" fontId="6" fillId="4" borderId="43" xfId="0" applyFont="1" applyFill="1" applyBorder="1" applyAlignment="1">
      <alignment horizontal="center" vertical="center"/>
    </xf>
    <xf numFmtId="0" fontId="6" fillId="4" borderId="42" xfId="0" applyFont="1" applyFill="1" applyBorder="1" applyAlignment="1">
      <alignment horizontal="center" vertical="center"/>
    </xf>
    <xf numFmtId="2" fontId="8" fillId="3" borderId="33" xfId="1" applyNumberFormat="1" applyFont="1" applyFill="1" applyBorder="1" applyAlignment="1">
      <alignment horizontal="center"/>
    </xf>
    <xf numFmtId="2" fontId="8" fillId="3" borderId="34" xfId="1" applyNumberFormat="1" applyFont="1" applyFill="1" applyBorder="1" applyAlignment="1">
      <alignment horizontal="center"/>
    </xf>
    <xf numFmtId="0" fontId="8" fillId="3" borderId="35" xfId="1" applyFont="1" applyFill="1" applyBorder="1" applyAlignment="1">
      <alignment horizontal="center" wrapText="1"/>
    </xf>
    <xf numFmtId="0" fontId="8" fillId="3" borderId="36" xfId="1" applyFill="1" applyBorder="1" applyAlignment="1">
      <alignment horizontal="center" wrapText="1"/>
    </xf>
    <xf numFmtId="0" fontId="8" fillId="3" borderId="37" xfId="1" applyFill="1" applyBorder="1" applyAlignment="1">
      <alignment horizontal="center" wrapText="1"/>
    </xf>
    <xf numFmtId="0" fontId="42" fillId="3" borderId="11" xfId="1" applyFont="1" applyFill="1" applyBorder="1" applyAlignment="1">
      <alignment horizontal="center" wrapText="1"/>
    </xf>
    <xf numFmtId="0" fontId="42" fillId="3" borderId="19" xfId="1" applyFont="1" applyFill="1" applyBorder="1" applyAlignment="1">
      <alignment horizontal="center" wrapText="1"/>
    </xf>
    <xf numFmtId="0" fontId="42" fillId="3" borderId="21" xfId="1" applyFont="1" applyFill="1" applyBorder="1" applyAlignment="1">
      <alignment horizontal="center" wrapText="1"/>
    </xf>
    <xf numFmtId="0" fontId="42" fillId="3" borderId="31" xfId="1" applyFont="1" applyFill="1" applyBorder="1" applyAlignment="1">
      <alignment horizontal="center" wrapText="1"/>
    </xf>
    <xf numFmtId="0" fontId="42" fillId="3" borderId="38" xfId="1" applyFont="1" applyFill="1" applyBorder="1" applyAlignment="1">
      <alignment horizontal="center" wrapText="1"/>
    </xf>
    <xf numFmtId="0" fontId="42" fillId="3" borderId="39" xfId="1" applyFont="1" applyFill="1" applyBorder="1" applyAlignment="1">
      <alignment horizontal="center" wrapText="1"/>
    </xf>
    <xf numFmtId="0" fontId="11" fillId="3" borderId="2" xfId="0" applyFont="1" applyFill="1" applyBorder="1" applyAlignment="1">
      <alignment horizontal="right" vertical="center" wrapText="1"/>
    </xf>
    <xf numFmtId="0" fontId="11" fillId="3" borderId="17" xfId="0" applyFont="1" applyFill="1" applyBorder="1" applyAlignment="1">
      <alignment horizontal="right" vertical="center" wrapText="1"/>
    </xf>
    <xf numFmtId="0" fontId="11" fillId="3" borderId="1" xfId="0" applyFont="1" applyFill="1" applyBorder="1" applyAlignment="1">
      <alignment horizontal="right" vertical="center" wrapText="1"/>
    </xf>
    <xf numFmtId="0" fontId="11" fillId="3" borderId="3" xfId="0" applyFont="1" applyFill="1" applyBorder="1" applyAlignment="1">
      <alignment horizontal="right"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990099"/>
      <color rgb="FF993366"/>
      <color rgb="FF0000FF"/>
      <color rgb="FFFF99FF"/>
      <color rgb="FF99FF99"/>
      <color rgb="FFCC00CC"/>
      <color rgb="FFFF000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u="none" strike="noStrike" baseline="0">
                <a:solidFill>
                  <a:srgbClr val="000000"/>
                </a:solidFill>
                <a:latin typeface="Arial Narrow"/>
                <a:ea typeface="Arial Narrow"/>
                <a:cs typeface="Arial Narrow"/>
              </a:defRPr>
            </a:pPr>
            <a:r>
              <a:rPr lang="en-US"/>
              <a:t>Test score</a:t>
            </a:r>
          </a:p>
        </c:rich>
      </c:tx>
      <c:layout>
        <c:manualLayout>
          <c:xMode val="edge"/>
          <c:yMode val="edge"/>
          <c:x val="2.9754176963435974E-2"/>
          <c:y val="1.8794427790289329E-2"/>
        </c:manualLayout>
      </c:layout>
      <c:overlay val="0"/>
      <c:spPr>
        <a:noFill/>
        <a:ln w="25400">
          <a:noFill/>
        </a:ln>
      </c:spPr>
    </c:title>
    <c:autoTitleDeleted val="0"/>
    <c:plotArea>
      <c:layout>
        <c:manualLayout>
          <c:layoutTarget val="inner"/>
          <c:xMode val="edge"/>
          <c:yMode val="edge"/>
          <c:x val="0.13968492175097966"/>
          <c:y val="0.12518943606625443"/>
          <c:w val="0.81092644511116652"/>
          <c:h val="0.7053683437875351"/>
        </c:manualLayout>
      </c:layout>
      <c:scatterChart>
        <c:scatterStyle val="lineMarker"/>
        <c:varyColors val="0"/>
        <c:ser>
          <c:idx val="0"/>
          <c:order val="0"/>
          <c:spPr>
            <a:ln w="3175">
              <a:noFill/>
            </a:ln>
          </c:spPr>
          <c:marker>
            <c:symbol val="circle"/>
            <c:size val="4"/>
            <c:spPr>
              <a:solidFill>
                <a:srgbClr val="FF0000"/>
              </a:solidFill>
              <a:ln>
                <a:solidFill>
                  <a:srgbClr val="000000"/>
                </a:solidFill>
                <a:prstDash val="solid"/>
              </a:ln>
            </c:spPr>
          </c:marker>
          <c:errBars>
            <c:errDir val="y"/>
            <c:errBarType val="both"/>
            <c:errValType val="cust"/>
            <c:noEndCap val="0"/>
            <c:plus>
              <c:numRef>
                <c:f>'Trend Data'!$F$60:$Z$60</c:f>
                <c:numCache>
                  <c:formatCode>General</c:formatCode>
                  <c:ptCount val="21"/>
                  <c:pt idx="0">
                    <c:v>1.5030000000000001</c:v>
                  </c:pt>
                  <c:pt idx="1">
                    <c:v>1.4910000000000003</c:v>
                  </c:pt>
                  <c:pt idx="2">
                    <c:v>0</c:v>
                  </c:pt>
                  <c:pt idx="3">
                    <c:v>1.4489999999999998</c:v>
                  </c:pt>
                  <c:pt idx="4">
                    <c:v>1.425</c:v>
                  </c:pt>
                  <c:pt idx="5">
                    <c:v>0</c:v>
                  </c:pt>
                  <c:pt idx="6">
                    <c:v>1.3589999999999998</c:v>
                  </c:pt>
                  <c:pt idx="7">
                    <c:v>1.44</c:v>
                  </c:pt>
                  <c:pt idx="8">
                    <c:v>0</c:v>
                  </c:pt>
                  <c:pt idx="9">
                    <c:v>0</c:v>
                  </c:pt>
                  <c:pt idx="10">
                    <c:v>1.38</c:v>
                  </c:pt>
                  <c:pt idx="11">
                    <c:v>1.3139999999999998</c:v>
                  </c:pt>
                  <c:pt idx="12">
                    <c:v>1.395</c:v>
                  </c:pt>
                  <c:pt idx="13">
                    <c:v>1.4010000000000002</c:v>
                  </c:pt>
                  <c:pt idx="14">
                    <c:v>1.35</c:v>
                  </c:pt>
                  <c:pt idx="15">
                    <c:v>1.3710000000000002</c:v>
                  </c:pt>
                  <c:pt idx="16">
                    <c:v>1.2569999999999999</c:v>
                  </c:pt>
                  <c:pt idx="17">
                    <c:v>1.2060000000000002</c:v>
                  </c:pt>
                  <c:pt idx="18">
                    <c:v>1.194</c:v>
                  </c:pt>
                  <c:pt idx="19">
                    <c:v>0</c:v>
                  </c:pt>
                  <c:pt idx="20">
                    <c:v>0</c:v>
                  </c:pt>
                </c:numCache>
              </c:numRef>
            </c:plus>
            <c:minus>
              <c:numRef>
                <c:f>'Trend Data'!$F$60:$Z$60</c:f>
                <c:numCache>
                  <c:formatCode>General</c:formatCode>
                  <c:ptCount val="21"/>
                  <c:pt idx="0">
                    <c:v>1.5030000000000001</c:v>
                  </c:pt>
                  <c:pt idx="1">
                    <c:v>1.4910000000000003</c:v>
                  </c:pt>
                  <c:pt idx="2">
                    <c:v>0</c:v>
                  </c:pt>
                  <c:pt idx="3">
                    <c:v>1.4489999999999998</c:v>
                  </c:pt>
                  <c:pt idx="4">
                    <c:v>1.425</c:v>
                  </c:pt>
                  <c:pt idx="5">
                    <c:v>0</c:v>
                  </c:pt>
                  <c:pt idx="6">
                    <c:v>1.3589999999999998</c:v>
                  </c:pt>
                  <c:pt idx="7">
                    <c:v>1.44</c:v>
                  </c:pt>
                  <c:pt idx="8">
                    <c:v>0</c:v>
                  </c:pt>
                  <c:pt idx="9">
                    <c:v>0</c:v>
                  </c:pt>
                  <c:pt idx="10">
                    <c:v>1.38</c:v>
                  </c:pt>
                  <c:pt idx="11">
                    <c:v>1.3139999999999998</c:v>
                  </c:pt>
                  <c:pt idx="12">
                    <c:v>1.395</c:v>
                  </c:pt>
                  <c:pt idx="13">
                    <c:v>1.4010000000000002</c:v>
                  </c:pt>
                  <c:pt idx="14">
                    <c:v>1.35</c:v>
                  </c:pt>
                  <c:pt idx="15">
                    <c:v>1.3710000000000002</c:v>
                  </c:pt>
                  <c:pt idx="16">
                    <c:v>1.2569999999999999</c:v>
                  </c:pt>
                  <c:pt idx="17">
                    <c:v>1.2060000000000002</c:v>
                  </c:pt>
                  <c:pt idx="18">
                    <c:v>1.194</c:v>
                  </c:pt>
                  <c:pt idx="19">
                    <c:v>0</c:v>
                  </c:pt>
                  <c:pt idx="20">
                    <c:v>0</c:v>
                  </c:pt>
                </c:numCache>
              </c:numRef>
            </c:minus>
            <c:spPr>
              <a:ln w="12700">
                <a:solidFill>
                  <a:srgbClr val="000000"/>
                </a:solidFill>
                <a:prstDash val="solid"/>
              </a:ln>
            </c:spPr>
          </c:errBars>
          <c:xVal>
            <c:numRef>
              <c:f>'Trend Data'!$F$22:$Z$22</c:f>
              <c:numCache>
                <c:formatCode>General</c:formatCode>
                <c:ptCount val="21"/>
                <c:pt idx="0">
                  <c:v>0.1</c:v>
                </c:pt>
                <c:pt idx="1">
                  <c:v>1</c:v>
                </c:pt>
                <c:pt idx="3">
                  <c:v>3</c:v>
                </c:pt>
                <c:pt idx="4">
                  <c:v>4</c:v>
                </c:pt>
                <c:pt idx="6">
                  <c:v>6</c:v>
                </c:pt>
                <c:pt idx="7">
                  <c:v>7</c:v>
                </c:pt>
                <c:pt idx="10">
                  <c:v>10</c:v>
                </c:pt>
                <c:pt idx="11">
                  <c:v>11</c:v>
                </c:pt>
                <c:pt idx="12">
                  <c:v>12</c:v>
                </c:pt>
                <c:pt idx="13">
                  <c:v>13</c:v>
                </c:pt>
                <c:pt idx="14">
                  <c:v>14</c:v>
                </c:pt>
                <c:pt idx="15">
                  <c:v>15</c:v>
                </c:pt>
                <c:pt idx="16">
                  <c:v>16</c:v>
                </c:pt>
                <c:pt idx="17">
                  <c:v>17</c:v>
                </c:pt>
                <c:pt idx="18">
                  <c:v>18</c:v>
                </c:pt>
              </c:numCache>
            </c:numRef>
          </c:xVal>
          <c:yVal>
            <c:numRef>
              <c:f>'Trend Data'!$F$23:$Z$23</c:f>
              <c:numCache>
                <c:formatCode>General</c:formatCode>
                <c:ptCount val="21"/>
                <c:pt idx="0">
                  <c:v>50.1</c:v>
                </c:pt>
                <c:pt idx="1">
                  <c:v>49.7</c:v>
                </c:pt>
                <c:pt idx="3">
                  <c:v>48.3</c:v>
                </c:pt>
                <c:pt idx="4">
                  <c:v>47.5</c:v>
                </c:pt>
                <c:pt idx="6">
                  <c:v>45.3</c:v>
                </c:pt>
                <c:pt idx="7">
                  <c:v>48</c:v>
                </c:pt>
                <c:pt idx="10">
                  <c:v>46</c:v>
                </c:pt>
                <c:pt idx="11">
                  <c:v>43.8</c:v>
                </c:pt>
                <c:pt idx="12">
                  <c:v>46.5</c:v>
                </c:pt>
                <c:pt idx="13">
                  <c:v>46.7</c:v>
                </c:pt>
                <c:pt idx="14">
                  <c:v>45</c:v>
                </c:pt>
                <c:pt idx="15">
                  <c:v>45.7</c:v>
                </c:pt>
                <c:pt idx="16">
                  <c:v>41.9</c:v>
                </c:pt>
                <c:pt idx="17">
                  <c:v>40.200000000000003</c:v>
                </c:pt>
                <c:pt idx="18">
                  <c:v>39.799999999999997</c:v>
                </c:pt>
              </c:numCache>
            </c:numRef>
          </c:yVal>
          <c:smooth val="0"/>
          <c:extLst>
            <c:ext xmlns:c16="http://schemas.microsoft.com/office/drawing/2014/chart" uri="{C3380CC4-5D6E-409C-BE32-E72D297353CC}">
              <c16:uniqueId val="{00000000-8736-497A-9894-4C01261E4DD4}"/>
            </c:ext>
          </c:extLst>
        </c:ser>
        <c:ser>
          <c:idx val="1"/>
          <c:order val="1"/>
          <c:spPr>
            <a:ln w="28575">
              <a:noFill/>
            </a:ln>
          </c:spPr>
          <c:marker>
            <c:symbol val="none"/>
          </c:marker>
          <c:trendline>
            <c:spPr>
              <a:ln>
                <a:solidFill>
                  <a:srgbClr val="FF0000"/>
                </a:solidFill>
              </a:ln>
            </c:spPr>
            <c:trendlineType val="linear"/>
            <c:dispRSqr val="0"/>
            <c:dispEq val="0"/>
          </c:trendline>
          <c:xVal>
            <c:numRef>
              <c:f>'Trend Data'!$F$73:$F$74</c:f>
              <c:numCache>
                <c:formatCode>General</c:formatCode>
                <c:ptCount val="2"/>
                <c:pt idx="0">
                  <c:v>0.1</c:v>
                </c:pt>
                <c:pt idx="1">
                  <c:v>11</c:v>
                </c:pt>
              </c:numCache>
            </c:numRef>
          </c:xVal>
          <c:yVal>
            <c:numRef>
              <c:f>'Trend Data'!$F$75:$F$76</c:f>
              <c:numCache>
                <c:formatCode>General</c:formatCode>
                <c:ptCount val="2"/>
                <c:pt idx="0">
                  <c:v>49.8472133262417</c:v>
                </c:pt>
                <c:pt idx="1">
                  <c:v>44.548254438874245</c:v>
                </c:pt>
              </c:numCache>
            </c:numRef>
          </c:yVal>
          <c:smooth val="0"/>
          <c:extLst>
            <c:ext xmlns:c16="http://schemas.microsoft.com/office/drawing/2014/chart" uri="{C3380CC4-5D6E-409C-BE32-E72D297353CC}">
              <c16:uniqueId val="{00000001-8736-497A-9894-4C01261E4DD4}"/>
            </c:ext>
          </c:extLst>
        </c:ser>
        <c:ser>
          <c:idx val="2"/>
          <c:order val="2"/>
          <c:spPr>
            <a:ln w="28575">
              <a:noFill/>
            </a:ln>
          </c:spPr>
          <c:marker>
            <c:symbol val="none"/>
          </c:marker>
          <c:trendline>
            <c:spPr>
              <a:ln>
                <a:solidFill>
                  <a:srgbClr val="FF0000"/>
                </a:solidFill>
                <a:prstDash val="dash"/>
              </a:ln>
            </c:spPr>
            <c:trendlineType val="poly"/>
            <c:order val="3"/>
            <c:dispRSqr val="0"/>
            <c:dispEq val="0"/>
          </c:trendline>
          <c:xVal>
            <c:numRef>
              <c:f>'Trend Data'!$F$22:$Z$22</c:f>
              <c:numCache>
                <c:formatCode>General</c:formatCode>
                <c:ptCount val="21"/>
                <c:pt idx="0">
                  <c:v>0.1</c:v>
                </c:pt>
                <c:pt idx="1">
                  <c:v>1</c:v>
                </c:pt>
                <c:pt idx="3">
                  <c:v>3</c:v>
                </c:pt>
                <c:pt idx="4">
                  <c:v>4</c:v>
                </c:pt>
                <c:pt idx="6">
                  <c:v>6</c:v>
                </c:pt>
                <c:pt idx="7">
                  <c:v>7</c:v>
                </c:pt>
                <c:pt idx="10">
                  <c:v>10</c:v>
                </c:pt>
                <c:pt idx="11">
                  <c:v>11</c:v>
                </c:pt>
                <c:pt idx="12">
                  <c:v>12</c:v>
                </c:pt>
                <c:pt idx="13">
                  <c:v>13</c:v>
                </c:pt>
                <c:pt idx="14">
                  <c:v>14</c:v>
                </c:pt>
                <c:pt idx="15">
                  <c:v>15</c:v>
                </c:pt>
                <c:pt idx="16">
                  <c:v>16</c:v>
                </c:pt>
                <c:pt idx="17">
                  <c:v>17</c:v>
                </c:pt>
                <c:pt idx="18">
                  <c:v>18</c:v>
                </c:pt>
              </c:numCache>
            </c:numRef>
          </c:xVal>
          <c:yVal>
            <c:numRef>
              <c:f>'Trend Data'!$F$61:$Z$61</c:f>
              <c:numCache>
                <c:formatCode>General</c:formatCode>
                <c:ptCount val="21"/>
                <c:pt idx="0">
                  <c:v>51.744919394352415</c:v>
                </c:pt>
                <c:pt idx="1">
                  <c:v>51.224140805051789</c:v>
                </c:pt>
                <c:pt idx="2">
                  <c:v>0</c:v>
                </c:pt>
                <c:pt idx="3">
                  <c:v>50.093946313505924</c:v>
                </c:pt>
                <c:pt idx="4">
                  <c:v>49.552015915067159</c:v>
                </c:pt>
                <c:pt idx="5">
                  <c:v>0</c:v>
                </c:pt>
                <c:pt idx="6">
                  <c:v>48.541478145992485</c:v>
                </c:pt>
                <c:pt idx="7">
                  <c:v>48.075311338736789</c:v>
                </c:pt>
                <c:pt idx="8">
                  <c:v>0</c:v>
                </c:pt>
                <c:pt idx="9">
                  <c:v>0</c:v>
                </c:pt>
                <c:pt idx="10">
                  <c:v>46.776975695360484</c:v>
                </c:pt>
                <c:pt idx="11">
                  <c:v>46.362134523722915</c:v>
                </c:pt>
                <c:pt idx="12">
                  <c:v>45.951781365530209</c:v>
                </c:pt>
                <c:pt idx="13">
                  <c:v>45.544570492184668</c:v>
                </c:pt>
                <c:pt idx="14">
                  <c:v>45.139619415535108</c:v>
                </c:pt>
                <c:pt idx="15">
                  <c:v>44.73633552306066</c:v>
                </c:pt>
                <c:pt idx="16">
                  <c:v>44.334310570805926</c:v>
                </c:pt>
                <c:pt idx="17">
                  <c:v>43.933256265721276</c:v>
                </c:pt>
                <c:pt idx="18">
                  <c:v>43.532964274058308</c:v>
                </c:pt>
                <c:pt idx="19">
                  <c:v>0</c:v>
                </c:pt>
                <c:pt idx="20">
                  <c:v>0</c:v>
                </c:pt>
              </c:numCache>
            </c:numRef>
          </c:yVal>
          <c:smooth val="0"/>
          <c:extLst>
            <c:ext xmlns:c16="http://schemas.microsoft.com/office/drawing/2014/chart" uri="{C3380CC4-5D6E-409C-BE32-E72D297353CC}">
              <c16:uniqueId val="{00000002-8736-497A-9894-4C01261E4DD4}"/>
            </c:ext>
          </c:extLst>
        </c:ser>
        <c:ser>
          <c:idx val="3"/>
          <c:order val="3"/>
          <c:spPr>
            <a:ln w="28575">
              <a:noFill/>
            </a:ln>
          </c:spPr>
          <c:marker>
            <c:symbol val="none"/>
          </c:marker>
          <c:trendline>
            <c:spPr>
              <a:ln>
                <a:solidFill>
                  <a:srgbClr val="FF0000"/>
                </a:solidFill>
                <a:prstDash val="dash"/>
              </a:ln>
            </c:spPr>
            <c:trendlineType val="poly"/>
            <c:order val="3"/>
            <c:dispRSqr val="0"/>
            <c:dispEq val="0"/>
          </c:trendline>
          <c:xVal>
            <c:numRef>
              <c:f>'Trend Data'!$F$22:$Z$22</c:f>
              <c:numCache>
                <c:formatCode>General</c:formatCode>
                <c:ptCount val="21"/>
                <c:pt idx="0">
                  <c:v>0.1</c:v>
                </c:pt>
                <c:pt idx="1">
                  <c:v>1</c:v>
                </c:pt>
                <c:pt idx="3">
                  <c:v>3</c:v>
                </c:pt>
                <c:pt idx="4">
                  <c:v>4</c:v>
                </c:pt>
                <c:pt idx="6">
                  <c:v>6</c:v>
                </c:pt>
                <c:pt idx="7">
                  <c:v>7</c:v>
                </c:pt>
                <c:pt idx="10">
                  <c:v>10</c:v>
                </c:pt>
                <c:pt idx="11">
                  <c:v>11</c:v>
                </c:pt>
                <c:pt idx="12">
                  <c:v>12</c:v>
                </c:pt>
                <c:pt idx="13">
                  <c:v>13</c:v>
                </c:pt>
                <c:pt idx="14">
                  <c:v>14</c:v>
                </c:pt>
                <c:pt idx="15">
                  <c:v>15</c:v>
                </c:pt>
                <c:pt idx="16">
                  <c:v>16</c:v>
                </c:pt>
                <c:pt idx="17">
                  <c:v>17</c:v>
                </c:pt>
                <c:pt idx="18">
                  <c:v>18</c:v>
                </c:pt>
              </c:numCache>
            </c:numRef>
          </c:xVal>
          <c:yVal>
            <c:numRef>
              <c:f>'Trend Data'!$F$62:$Z$62</c:f>
              <c:numCache>
                <c:formatCode>General</c:formatCode>
                <c:ptCount val="21"/>
                <c:pt idx="0">
                  <c:v>47.949507258130986</c:v>
                </c:pt>
                <c:pt idx="1">
                  <c:v>47.595228416490201</c:v>
                </c:pt>
                <c:pt idx="2">
                  <c:v>0</c:v>
                </c:pt>
                <c:pt idx="3">
                  <c:v>46.780850839277363</c:v>
                </c:pt>
                <c:pt idx="4">
                  <c:v>46.350495203336777</c:v>
                </c:pt>
                <c:pt idx="5">
                  <c:v>0</c:v>
                </c:pt>
                <c:pt idx="6">
                  <c:v>45.416460903652748</c:v>
                </c:pt>
                <c:pt idx="7">
                  <c:v>44.910341676529107</c:v>
                </c:pt>
                <c:pt idx="8">
                  <c:v>0</c:v>
                </c:pt>
                <c:pt idx="9">
                  <c:v>0</c:v>
                </c:pt>
                <c:pt idx="10">
                  <c:v>43.291819216767358</c:v>
                </c:pt>
                <c:pt idx="11">
                  <c:v>42.734374354025576</c:v>
                </c:pt>
                <c:pt idx="12">
                  <c:v>42.17244147783893</c:v>
                </c:pt>
                <c:pt idx="13">
                  <c:v>41.60736631680512</c:v>
                </c:pt>
                <c:pt idx="14">
                  <c:v>41.040031359075329</c:v>
                </c:pt>
                <c:pt idx="15">
                  <c:v>40.471029217170425</c:v>
                </c:pt>
                <c:pt idx="16">
                  <c:v>39.900768135045809</c:v>
                </c:pt>
                <c:pt idx="17">
                  <c:v>39.329536405751107</c:v>
                </c:pt>
                <c:pt idx="18">
                  <c:v>38.757542363034737</c:v>
                </c:pt>
                <c:pt idx="19">
                  <c:v>0</c:v>
                </c:pt>
                <c:pt idx="20">
                  <c:v>0</c:v>
                </c:pt>
              </c:numCache>
            </c:numRef>
          </c:yVal>
          <c:smooth val="0"/>
          <c:extLst>
            <c:ext xmlns:c16="http://schemas.microsoft.com/office/drawing/2014/chart" uri="{C3380CC4-5D6E-409C-BE32-E72D297353CC}">
              <c16:uniqueId val="{00000003-8736-497A-9894-4C01261E4DD4}"/>
            </c:ext>
          </c:extLst>
        </c:ser>
        <c:dLbls>
          <c:showLegendKey val="0"/>
          <c:showVal val="0"/>
          <c:showCatName val="0"/>
          <c:showSerName val="0"/>
          <c:showPercent val="0"/>
          <c:showBubbleSize val="0"/>
        </c:dLbls>
        <c:axId val="179464832"/>
        <c:axId val="179483392"/>
      </c:scatterChart>
      <c:valAx>
        <c:axId val="179464832"/>
        <c:scaling>
          <c:orientation val="minMax"/>
        </c:scaling>
        <c:delete val="0"/>
        <c:axPos val="b"/>
        <c:title>
          <c:tx>
            <c:rich>
              <a:bodyPr/>
              <a:lstStyle/>
              <a:p>
                <a:pPr>
                  <a:defRPr sz="900" b="0" i="0" u="none" strike="noStrike" baseline="0">
                    <a:solidFill>
                      <a:srgbClr val="000000"/>
                    </a:solidFill>
                    <a:latin typeface="Arial Narrow"/>
                    <a:ea typeface="Arial Narrow"/>
                    <a:cs typeface="Arial Narrow"/>
                  </a:defRPr>
                </a:pPr>
                <a:r>
                  <a:rPr lang="en-US"/>
                  <a:t>Time</a:t>
                </a:r>
              </a:p>
            </c:rich>
          </c:tx>
          <c:layout>
            <c:manualLayout>
              <c:xMode val="edge"/>
              <c:yMode val="edge"/>
              <c:x val="0.44335217300291452"/>
              <c:y val="0.9180626204910226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Narrow"/>
                <a:ea typeface="Arial Narrow"/>
                <a:cs typeface="Arial Narrow"/>
              </a:defRPr>
            </a:pPr>
            <a:endParaRPr lang="en-US"/>
          </a:p>
        </c:txPr>
        <c:crossAx val="179483392"/>
        <c:crosses val="autoZero"/>
        <c:crossBetween val="midCat"/>
        <c:minorUnit val="1"/>
      </c:valAx>
      <c:valAx>
        <c:axId val="179483392"/>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Narrow"/>
                <a:ea typeface="Arial Narrow"/>
                <a:cs typeface="Arial Narrow"/>
              </a:defRPr>
            </a:pPr>
            <a:endParaRPr lang="en-US"/>
          </a:p>
        </c:txPr>
        <c:crossAx val="179464832"/>
        <c:crosses val="autoZero"/>
        <c:crossBetween val="midCat"/>
      </c:valAx>
      <c:spPr>
        <a:solidFill>
          <a:srgbClr val="FFFFFF"/>
        </a:solidFill>
        <a:ln w="12700">
          <a:solidFill>
            <a:srgbClr val="808080"/>
          </a:solidFill>
          <a:prstDash val="solid"/>
        </a:ln>
      </c:spPr>
    </c:plotArea>
    <c:plotVisOnly val="1"/>
    <c:dispBlanksAs val="gap"/>
    <c:showDLblsOverMax val="0"/>
  </c:chart>
  <c:spPr>
    <a:solidFill>
      <a:srgbClr val="C0C0C0"/>
    </a:solidFill>
    <a:ln w="3175">
      <a:solidFill>
        <a:srgbClr val="000000"/>
      </a:solidFill>
      <a:prstDash val="solid"/>
    </a:ln>
  </c:spPr>
  <c:txPr>
    <a:bodyPr/>
    <a:lstStyle/>
    <a:p>
      <a:pPr>
        <a:defRPr sz="900" b="0" i="0" u="none" strike="noStrike" baseline="0">
          <a:solidFill>
            <a:srgbClr val="000000"/>
          </a:solidFill>
          <a:latin typeface="Arial Narrow"/>
          <a:ea typeface="Arial Narrow"/>
          <a:cs typeface="Arial Narrow"/>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u="none" strike="noStrike" baseline="0">
                <a:solidFill>
                  <a:srgbClr val="000000"/>
                </a:solidFill>
                <a:latin typeface="Arial Narrow"/>
                <a:ea typeface="Arial Narrow"/>
                <a:cs typeface="Arial Narrow"/>
              </a:defRPr>
            </a:pPr>
            <a:r>
              <a:rPr lang="en-US"/>
              <a:t>Test score</a:t>
            </a:r>
          </a:p>
        </c:rich>
      </c:tx>
      <c:layout>
        <c:manualLayout>
          <c:xMode val="edge"/>
          <c:yMode val="edge"/>
          <c:x val="2.9754176963435974E-2"/>
          <c:y val="1.8794427790289329E-2"/>
        </c:manualLayout>
      </c:layout>
      <c:overlay val="0"/>
      <c:spPr>
        <a:noFill/>
        <a:ln w="25400">
          <a:noFill/>
        </a:ln>
      </c:spPr>
    </c:title>
    <c:autoTitleDeleted val="0"/>
    <c:plotArea>
      <c:layout>
        <c:manualLayout>
          <c:layoutTarget val="inner"/>
          <c:xMode val="edge"/>
          <c:yMode val="edge"/>
          <c:x val="0.13968492175097966"/>
          <c:y val="0.12518943606625443"/>
          <c:w val="0.81092644511116652"/>
          <c:h val="0.7053683437875351"/>
        </c:manualLayout>
      </c:layout>
      <c:scatterChart>
        <c:scatterStyle val="lineMarker"/>
        <c:varyColors val="0"/>
        <c:ser>
          <c:idx val="0"/>
          <c:order val="0"/>
          <c:spPr>
            <a:ln w="3175">
              <a:noFill/>
            </a:ln>
          </c:spPr>
          <c:marker>
            <c:symbol val="circle"/>
            <c:size val="4"/>
            <c:spPr>
              <a:solidFill>
                <a:srgbClr val="FF0000"/>
              </a:solidFill>
              <a:ln>
                <a:solidFill>
                  <a:srgbClr val="000000"/>
                </a:solidFill>
                <a:prstDash val="solid"/>
              </a:ln>
            </c:spPr>
          </c:marker>
          <c:errBars>
            <c:errDir val="y"/>
            <c:errBarType val="both"/>
            <c:errValType val="cust"/>
            <c:noEndCap val="0"/>
            <c:plus>
              <c:numRef>
                <c:f>'Trend Simulation Data'!$F$65:$Z$65</c:f>
                <c:numCache>
                  <c:formatCode>General</c:formatCode>
                  <c:ptCount val="21"/>
                  <c:pt idx="0">
                    <c:v>1.50067082921494</c:v>
                  </c:pt>
                  <c:pt idx="1">
                    <c:v>1.4847257402075513</c:v>
                  </c:pt>
                  <c:pt idx="2">
                    <c:v>1.4670089746437862</c:v>
                  </c:pt>
                  <c:pt idx="3">
                    <c:v>1.4492922090800207</c:v>
                  </c:pt>
                  <c:pt idx="4">
                    <c:v>1.4315754435162555</c:v>
                  </c:pt>
                  <c:pt idx="5">
                    <c:v>1.4138586779524902</c:v>
                  </c:pt>
                  <c:pt idx="6">
                    <c:v>1.3961419123887249</c:v>
                  </c:pt>
                  <c:pt idx="7">
                    <c:v>1.3784251468249595</c:v>
                  </c:pt>
                  <c:pt idx="8">
                    <c:v>1.3607083812611944</c:v>
                  </c:pt>
                  <c:pt idx="9">
                    <c:v>1.3429916156974293</c:v>
                  </c:pt>
                  <c:pt idx="10">
                    <c:v>1.325274850133664</c:v>
                  </c:pt>
                  <c:pt idx="11">
                    <c:v>1.3075580845698989</c:v>
                  </c:pt>
                  <c:pt idx="12">
                    <c:v>1.2898413190061333</c:v>
                  </c:pt>
                  <c:pt idx="13">
                    <c:v>1.272124553442368</c:v>
                  </c:pt>
                  <c:pt idx="14">
                    <c:v>1.2544077878786029</c:v>
                  </c:pt>
                  <c:pt idx="15">
                    <c:v>1.2366910223148375</c:v>
                  </c:pt>
                  <c:pt idx="16">
                    <c:v>1.2189742567510724</c:v>
                  </c:pt>
                  <c:pt idx="17">
                    <c:v>1.2012574911873071</c:v>
                  </c:pt>
                  <c:pt idx="18">
                    <c:v>1.1835407256235417</c:v>
                  </c:pt>
                  <c:pt idx="19">
                    <c:v>1.1658239600597764</c:v>
                  </c:pt>
                  <c:pt idx="20">
                    <c:v>1.1481071944960113</c:v>
                  </c:pt>
                </c:numCache>
              </c:numRef>
            </c:plus>
            <c:minus>
              <c:numRef>
                <c:f>'Trend Simulation Data'!$F$65:$Z$65</c:f>
                <c:numCache>
                  <c:formatCode>General</c:formatCode>
                  <c:ptCount val="21"/>
                  <c:pt idx="0">
                    <c:v>1.50067082921494</c:v>
                  </c:pt>
                  <c:pt idx="1">
                    <c:v>1.4847257402075513</c:v>
                  </c:pt>
                  <c:pt idx="2">
                    <c:v>1.4670089746437862</c:v>
                  </c:pt>
                  <c:pt idx="3">
                    <c:v>1.4492922090800207</c:v>
                  </c:pt>
                  <c:pt idx="4">
                    <c:v>1.4315754435162555</c:v>
                  </c:pt>
                  <c:pt idx="5">
                    <c:v>1.4138586779524902</c:v>
                  </c:pt>
                  <c:pt idx="6">
                    <c:v>1.3961419123887249</c:v>
                  </c:pt>
                  <c:pt idx="7">
                    <c:v>1.3784251468249595</c:v>
                  </c:pt>
                  <c:pt idx="8">
                    <c:v>1.3607083812611944</c:v>
                  </c:pt>
                  <c:pt idx="9">
                    <c:v>1.3429916156974293</c:v>
                  </c:pt>
                  <c:pt idx="10">
                    <c:v>1.325274850133664</c:v>
                  </c:pt>
                  <c:pt idx="11">
                    <c:v>1.3075580845698989</c:v>
                  </c:pt>
                  <c:pt idx="12">
                    <c:v>1.2898413190061333</c:v>
                  </c:pt>
                  <c:pt idx="13">
                    <c:v>1.272124553442368</c:v>
                  </c:pt>
                  <c:pt idx="14">
                    <c:v>1.2544077878786029</c:v>
                  </c:pt>
                  <c:pt idx="15">
                    <c:v>1.2366910223148375</c:v>
                  </c:pt>
                  <c:pt idx="16">
                    <c:v>1.2189742567510724</c:v>
                  </c:pt>
                  <c:pt idx="17">
                    <c:v>1.2012574911873071</c:v>
                  </c:pt>
                  <c:pt idx="18">
                    <c:v>1.1835407256235417</c:v>
                  </c:pt>
                  <c:pt idx="19">
                    <c:v>1.1658239600597764</c:v>
                  </c:pt>
                  <c:pt idx="20">
                    <c:v>1.1481071944960113</c:v>
                  </c:pt>
                </c:numCache>
              </c:numRef>
            </c:minus>
            <c:spPr>
              <a:ln w="12700">
                <a:solidFill>
                  <a:srgbClr val="000000"/>
                </a:solidFill>
                <a:prstDash val="solid"/>
              </a:ln>
            </c:spPr>
          </c:errBars>
          <c:xVal>
            <c:numRef>
              <c:f>'Trend Simulation Data'!$F$39:$Z$39</c:f>
              <c:numCache>
                <c:formatCode>General</c:formatCode>
                <c:ptCount val="21"/>
                <c:pt idx="0">
                  <c:v>0.1</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xVal>
          <c:yVal>
            <c:numRef>
              <c:f>'Trend Simulation Data'!$F$40:$Z$40</c:f>
              <c:numCache>
                <c:formatCode>General</c:formatCode>
                <c:ptCount val="21"/>
                <c:pt idx="0">
                  <c:v>49.227062874345329</c:v>
                </c:pt>
                <c:pt idx="1">
                  <c:v>49.272412402984322</c:v>
                </c:pt>
                <c:pt idx="2">
                  <c:v>46.458485369048191</c:v>
                </c:pt>
                <c:pt idx="3">
                  <c:v>48.062795746268662</c:v>
                </c:pt>
                <c:pt idx="4">
                  <c:v>50.008885957643578</c:v>
                </c:pt>
                <c:pt idx="5">
                  <c:v>48.376140047936438</c:v>
                </c:pt>
                <c:pt idx="6">
                  <c:v>48.562111904460011</c:v>
                </c:pt>
                <c:pt idx="7">
                  <c:v>46.468593225676877</c:v>
                </c:pt>
                <c:pt idx="8">
                  <c:v>47.104544606880125</c:v>
                </c:pt>
                <c:pt idx="9">
                  <c:v>42.738501943877203</c:v>
                </c:pt>
                <c:pt idx="10">
                  <c:v>42.076258618246371</c:v>
                </c:pt>
                <c:pt idx="11">
                  <c:v>46.009799423590337</c:v>
                </c:pt>
                <c:pt idx="12">
                  <c:v>48.817126856238779</c:v>
                </c:pt>
                <c:pt idx="13">
                  <c:v>47.103440071557344</c:v>
                </c:pt>
                <c:pt idx="14">
                  <c:v>43.893024159508691</c:v>
                </c:pt>
                <c:pt idx="15">
                  <c:v>44.656796299857966</c:v>
                </c:pt>
                <c:pt idx="16">
                  <c:v>41.42829747370056</c:v>
                </c:pt>
                <c:pt idx="17">
                  <c:v>41.158538016136006</c:v>
                </c:pt>
                <c:pt idx="18">
                  <c:v>39.542859107204777</c:v>
                </c:pt>
                <c:pt idx="19">
                  <c:v>40.853615472203032</c:v>
                </c:pt>
                <c:pt idx="20">
                  <c:v>37.401672805615661</c:v>
                </c:pt>
              </c:numCache>
            </c:numRef>
          </c:yVal>
          <c:smooth val="0"/>
          <c:extLst>
            <c:ext xmlns:c16="http://schemas.microsoft.com/office/drawing/2014/chart" uri="{C3380CC4-5D6E-409C-BE32-E72D297353CC}">
              <c16:uniqueId val="{00000000-88CC-432B-84BF-92B5C0F79FFB}"/>
            </c:ext>
          </c:extLst>
        </c:ser>
        <c:ser>
          <c:idx val="1"/>
          <c:order val="1"/>
          <c:spPr>
            <a:ln w="28575">
              <a:noFill/>
            </a:ln>
          </c:spPr>
          <c:marker>
            <c:symbol val="none"/>
          </c:marker>
          <c:trendline>
            <c:spPr>
              <a:ln>
                <a:solidFill>
                  <a:srgbClr val="FF0000"/>
                </a:solidFill>
              </a:ln>
            </c:spPr>
            <c:trendlineType val="linear"/>
            <c:dispRSqr val="0"/>
            <c:dispEq val="0"/>
          </c:trendline>
          <c:xVal>
            <c:numRef>
              <c:f>'Trend Simulation Data'!$F$77:$F$78</c:f>
              <c:numCache>
                <c:formatCode>General</c:formatCode>
                <c:ptCount val="2"/>
                <c:pt idx="0">
                  <c:v>0.1</c:v>
                </c:pt>
                <c:pt idx="1">
                  <c:v>10</c:v>
                </c:pt>
              </c:numCache>
            </c:numRef>
          </c:xVal>
          <c:yVal>
            <c:numRef>
              <c:f>'Trend Simulation Data'!$F$79:$F$80</c:f>
              <c:numCache>
                <c:formatCode>General</c:formatCode>
                <c:ptCount val="2"/>
                <c:pt idx="0">
                  <c:v>50.022360973831333</c:v>
                </c:pt>
                <c:pt idx="1">
                  <c:v>44.175828337788801</c:v>
                </c:pt>
              </c:numCache>
            </c:numRef>
          </c:yVal>
          <c:smooth val="0"/>
          <c:extLst>
            <c:ext xmlns:c16="http://schemas.microsoft.com/office/drawing/2014/chart" uri="{C3380CC4-5D6E-409C-BE32-E72D297353CC}">
              <c16:uniqueId val="{00000001-88CC-432B-84BF-92B5C0F79FFB}"/>
            </c:ext>
          </c:extLst>
        </c:ser>
        <c:ser>
          <c:idx val="2"/>
          <c:order val="2"/>
          <c:spPr>
            <a:ln w="28575">
              <a:noFill/>
            </a:ln>
          </c:spPr>
          <c:marker>
            <c:symbol val="none"/>
          </c:marker>
          <c:trendline>
            <c:spPr>
              <a:ln>
                <a:solidFill>
                  <a:srgbClr val="FF0000"/>
                </a:solidFill>
                <a:prstDash val="dash"/>
              </a:ln>
            </c:spPr>
            <c:trendlineType val="poly"/>
            <c:order val="3"/>
            <c:dispRSqr val="0"/>
            <c:dispEq val="0"/>
          </c:trendline>
          <c:xVal>
            <c:numRef>
              <c:f>'Trend Simulation Data'!$F$39:$Z$39</c:f>
              <c:numCache>
                <c:formatCode>General</c:formatCode>
                <c:ptCount val="21"/>
                <c:pt idx="0">
                  <c:v>0.1</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xVal>
          <c:yVal>
            <c:numRef>
              <c:f>'Trend Simulation Data'!$F$66:$Z$66</c:f>
              <c:numCache>
                <c:formatCode>General</c:formatCode>
                <c:ptCount val="21"/>
                <c:pt idx="0">
                  <c:v>52.283231329940122</c:v>
                </c:pt>
                <c:pt idx="1">
                  <c:v>51.611209520140072</c:v>
                </c:pt>
                <c:pt idx="2">
                  <c:v>50.877253973475135</c:v>
                </c:pt>
                <c:pt idx="3">
                  <c:v>50.164459861556232</c:v>
                </c:pt>
                <c:pt idx="4">
                  <c:v>49.484866901789076</c:v>
                </c:pt>
                <c:pt idx="5">
                  <c:v>48.852212301715404</c:v>
                </c:pt>
                <c:pt idx="6">
                  <c:v>48.273267618577947</c:v>
                </c:pt>
                <c:pt idx="7">
                  <c:v>47.74147944270554</c:v>
                </c:pt>
                <c:pt idx="8">
                  <c:v>47.243143976669231</c:v>
                </c:pt>
                <c:pt idx="9">
                  <c:v>46.766151667513412</c:v>
                </c:pt>
                <c:pt idx="10">
                  <c:v>46.302495954241522</c:v>
                </c:pt>
                <c:pt idx="11">
                  <c:v>45.847352385729991</c:v>
                </c:pt>
                <c:pt idx="12">
                  <c:v>45.397836821756862</c:v>
                </c:pt>
                <c:pt idx="13">
                  <c:v>44.952182313204553</c:v>
                </c:pt>
                <c:pt idx="14">
                  <c:v>44.509268580737469</c:v>
                </c:pt>
                <c:pt idx="15">
                  <c:v>44.068359925094633</c:v>
                </c:pt>
                <c:pt idx="16">
                  <c:v>43.628957088705846</c:v>
                </c:pt>
                <c:pt idx="17">
                  <c:v>43.190711112542679</c:v>
                </c:pt>
                <c:pt idx="18">
                  <c:v>42.753371612366443</c:v>
                </c:pt>
                <c:pt idx="19">
                  <c:v>42.316754722854434</c:v>
                </c:pt>
                <c:pt idx="20">
                  <c:v>41.880722631545311</c:v>
                </c:pt>
              </c:numCache>
            </c:numRef>
          </c:yVal>
          <c:smooth val="0"/>
          <c:extLst>
            <c:ext xmlns:c16="http://schemas.microsoft.com/office/drawing/2014/chart" uri="{C3380CC4-5D6E-409C-BE32-E72D297353CC}">
              <c16:uniqueId val="{00000002-88CC-432B-84BF-92B5C0F79FFB}"/>
            </c:ext>
          </c:extLst>
        </c:ser>
        <c:ser>
          <c:idx val="3"/>
          <c:order val="3"/>
          <c:spPr>
            <a:ln w="28575">
              <a:noFill/>
            </a:ln>
          </c:spPr>
          <c:marker>
            <c:symbol val="none"/>
          </c:marker>
          <c:trendline>
            <c:spPr>
              <a:ln>
                <a:solidFill>
                  <a:srgbClr val="FF0000"/>
                </a:solidFill>
                <a:prstDash val="dash"/>
              </a:ln>
            </c:spPr>
            <c:trendlineType val="poly"/>
            <c:order val="3"/>
            <c:dispRSqr val="0"/>
            <c:dispEq val="0"/>
          </c:trendline>
          <c:xVal>
            <c:numRef>
              <c:f>'Trend Simulation Data'!$F$39:$Z$39</c:f>
              <c:numCache>
                <c:formatCode>General</c:formatCode>
                <c:ptCount val="21"/>
                <c:pt idx="0">
                  <c:v>0.1</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xVal>
          <c:yVal>
            <c:numRef>
              <c:f>'Trend Simulation Data'!$F$67:$Z$67</c:f>
              <c:numCache>
                <c:formatCode>General</c:formatCode>
                <c:ptCount val="21"/>
                <c:pt idx="0">
                  <c:v>47.761490617722544</c:v>
                </c:pt>
                <c:pt idx="1">
                  <c:v>47.370506493696674</c:v>
                </c:pt>
                <c:pt idx="2">
                  <c:v>46.923344336110603</c:v>
                </c:pt>
                <c:pt idx="3">
                  <c:v>46.455020743778483</c:v>
                </c:pt>
                <c:pt idx="4">
                  <c:v>45.953495999294617</c:v>
                </c:pt>
                <c:pt idx="5">
                  <c:v>45.40503289511728</c:v>
                </c:pt>
                <c:pt idx="6">
                  <c:v>44.802859874003715</c:v>
                </c:pt>
                <c:pt idx="7">
                  <c:v>44.1535303456251</c:v>
                </c:pt>
                <c:pt idx="8">
                  <c:v>43.470748107410401</c:v>
                </c:pt>
                <c:pt idx="9">
                  <c:v>42.766622712315197</c:v>
                </c:pt>
                <c:pt idx="10">
                  <c:v>42.049160721336079</c:v>
                </c:pt>
                <c:pt idx="11">
                  <c:v>41.323186585596588</c:v>
                </c:pt>
                <c:pt idx="12">
                  <c:v>40.591584445318695</c:v>
                </c:pt>
                <c:pt idx="13">
                  <c:v>39.856121249619981</c:v>
                </c:pt>
                <c:pt idx="14">
                  <c:v>39.117917277836057</c:v>
                </c:pt>
                <c:pt idx="15">
                  <c:v>38.377708229227871</c:v>
                </c:pt>
                <c:pt idx="16">
                  <c:v>37.635993361365649</c:v>
                </c:pt>
                <c:pt idx="17">
                  <c:v>36.893121633277794</c:v>
                </c:pt>
                <c:pt idx="18">
                  <c:v>36.149343429203007</c:v>
                </c:pt>
                <c:pt idx="19">
                  <c:v>35.404842614463995</c:v>
                </c:pt>
                <c:pt idx="20">
                  <c:v>34.659757001522109</c:v>
                </c:pt>
              </c:numCache>
            </c:numRef>
          </c:yVal>
          <c:smooth val="0"/>
          <c:extLst>
            <c:ext xmlns:c16="http://schemas.microsoft.com/office/drawing/2014/chart" uri="{C3380CC4-5D6E-409C-BE32-E72D297353CC}">
              <c16:uniqueId val="{00000003-88CC-432B-84BF-92B5C0F79FFB}"/>
            </c:ext>
          </c:extLst>
        </c:ser>
        <c:dLbls>
          <c:showLegendKey val="0"/>
          <c:showVal val="0"/>
          <c:showCatName val="0"/>
          <c:showSerName val="0"/>
          <c:showPercent val="0"/>
          <c:showBubbleSize val="0"/>
        </c:dLbls>
        <c:axId val="179464832"/>
        <c:axId val="179483392"/>
      </c:scatterChart>
      <c:valAx>
        <c:axId val="179464832"/>
        <c:scaling>
          <c:orientation val="minMax"/>
        </c:scaling>
        <c:delete val="0"/>
        <c:axPos val="b"/>
        <c:title>
          <c:tx>
            <c:rich>
              <a:bodyPr/>
              <a:lstStyle/>
              <a:p>
                <a:pPr>
                  <a:defRPr sz="900" b="0" i="0" u="none" strike="noStrike" baseline="0">
                    <a:solidFill>
                      <a:srgbClr val="000000"/>
                    </a:solidFill>
                    <a:latin typeface="Arial Narrow"/>
                    <a:ea typeface="Arial Narrow"/>
                    <a:cs typeface="Arial Narrow"/>
                  </a:defRPr>
                </a:pPr>
                <a:r>
                  <a:rPr lang="en-US"/>
                  <a:t>Time</a:t>
                </a:r>
              </a:p>
            </c:rich>
          </c:tx>
          <c:layout>
            <c:manualLayout>
              <c:xMode val="edge"/>
              <c:yMode val="edge"/>
              <c:x val="0.44335217300291452"/>
              <c:y val="0.9180626204910226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Narrow"/>
                <a:ea typeface="Arial Narrow"/>
                <a:cs typeface="Arial Narrow"/>
              </a:defRPr>
            </a:pPr>
            <a:endParaRPr lang="en-US"/>
          </a:p>
        </c:txPr>
        <c:crossAx val="179483392"/>
        <c:crosses val="autoZero"/>
        <c:crossBetween val="midCat"/>
        <c:minorUnit val="1"/>
      </c:valAx>
      <c:valAx>
        <c:axId val="179483392"/>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Narrow"/>
                <a:ea typeface="Arial Narrow"/>
                <a:cs typeface="Arial Narrow"/>
              </a:defRPr>
            </a:pPr>
            <a:endParaRPr lang="en-US"/>
          </a:p>
        </c:txPr>
        <c:crossAx val="179464832"/>
        <c:crosses val="autoZero"/>
        <c:crossBetween val="midCat"/>
      </c:valAx>
      <c:spPr>
        <a:solidFill>
          <a:srgbClr val="FFFFFF"/>
        </a:solidFill>
        <a:ln w="12700">
          <a:solidFill>
            <a:srgbClr val="808080"/>
          </a:solidFill>
          <a:prstDash val="solid"/>
        </a:ln>
      </c:spPr>
    </c:plotArea>
    <c:plotVisOnly val="1"/>
    <c:dispBlanksAs val="gap"/>
    <c:showDLblsOverMax val="0"/>
  </c:chart>
  <c:spPr>
    <a:solidFill>
      <a:srgbClr val="C0C0C0"/>
    </a:solidFill>
    <a:ln w="3175">
      <a:solidFill>
        <a:srgbClr val="000000"/>
      </a:solidFill>
      <a:prstDash val="solid"/>
    </a:ln>
  </c:spPr>
  <c:txPr>
    <a:bodyPr/>
    <a:lstStyle/>
    <a:p>
      <a:pPr>
        <a:defRPr sz="900" b="0" i="0" u="none" strike="noStrike" baseline="0">
          <a:solidFill>
            <a:srgbClr val="000000"/>
          </a:solidFill>
          <a:latin typeface="Arial Narrow"/>
          <a:ea typeface="Arial Narrow"/>
          <a:cs typeface="Arial Narrow"/>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 /></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 /></Relationships>
</file>

<file path=xl/drawings/drawing1.xml><?xml version="1.0" encoding="utf-8"?>
<xdr:wsDr xmlns:xdr="http://schemas.openxmlformats.org/drawingml/2006/spreadsheetDrawing" xmlns:a="http://schemas.openxmlformats.org/drawingml/2006/main">
  <xdr:twoCellAnchor>
    <xdr:from>
      <xdr:col>27</xdr:col>
      <xdr:colOff>9939</xdr:colOff>
      <xdr:row>21</xdr:row>
      <xdr:rowOff>18904</xdr:rowOff>
    </xdr:from>
    <xdr:to>
      <xdr:col>31</xdr:col>
      <xdr:colOff>370398</xdr:colOff>
      <xdr:row>38</xdr:row>
      <xdr:rowOff>74084</xdr:rowOff>
    </xdr:to>
    <xdr:graphicFrame macro="">
      <xdr:nvGraphicFramePr>
        <xdr:cNvPr id="2" name="Chart 93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9939</xdr:colOff>
      <xdr:row>38</xdr:row>
      <xdr:rowOff>29486</xdr:rowOff>
    </xdr:from>
    <xdr:to>
      <xdr:col>31</xdr:col>
      <xdr:colOff>370398</xdr:colOff>
      <xdr:row>53</xdr:row>
      <xdr:rowOff>189255</xdr:rowOff>
    </xdr:to>
    <xdr:graphicFrame macro="">
      <xdr:nvGraphicFramePr>
        <xdr:cNvPr id="2" name="Chart 93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 /><Relationship Id="rId2" Type="http://schemas.openxmlformats.org/officeDocument/2006/relationships/vmlDrawing" Target="../drawings/vmlDrawing1.vml" /><Relationship Id="rId1" Type="http://schemas.openxmlformats.org/officeDocument/2006/relationships/printerSettings" Target="../printerSettings/printerSettings1.bin" /></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 /><Relationship Id="rId2" Type="http://schemas.openxmlformats.org/officeDocument/2006/relationships/vmlDrawing" Target="../drawings/vmlDrawing2.vml" /><Relationship Id="rId1" Type="http://schemas.openxmlformats.org/officeDocument/2006/relationships/printerSettings" Target="../printerSettings/printerSettings2.bin" /></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1.xml" /><Relationship Id="rId1" Type="http://schemas.openxmlformats.org/officeDocument/2006/relationships/printerSettings" Target="../printerSettings/printerSettings3.bin" /><Relationship Id="rId4" Type="http://schemas.openxmlformats.org/officeDocument/2006/relationships/comments" Target="../comments3.xml" /></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 /><Relationship Id="rId1" Type="http://schemas.openxmlformats.org/officeDocument/2006/relationships/vmlDrawing" Target="../drawings/vmlDrawing4.vml" /></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 /></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 /><Relationship Id="rId2" Type="http://schemas.openxmlformats.org/officeDocument/2006/relationships/drawing" Target="../drawings/drawing2.xml" /><Relationship Id="rId1" Type="http://schemas.openxmlformats.org/officeDocument/2006/relationships/printerSettings" Target="../printerSettings/printerSettings5.bin" /><Relationship Id="rId4" Type="http://schemas.openxmlformats.org/officeDocument/2006/relationships/comments" Target="../comments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99"/>
  </sheetPr>
  <dimension ref="A1:AD34"/>
  <sheetViews>
    <sheetView showGridLines="0" zoomScaleNormal="100" workbookViewId="0"/>
  </sheetViews>
  <sheetFormatPr defaultRowHeight="12.75" x14ac:dyDescent="0.15"/>
  <cols>
    <col min="1" max="1" width="3.62890625" style="172" customWidth="1"/>
    <col min="2" max="5" width="8.875" style="172" customWidth="1"/>
    <col min="6" max="7" width="10.0859375" style="172" customWidth="1"/>
    <col min="8" max="9" width="8.875" style="172" customWidth="1"/>
    <col min="10" max="10" width="8.47265625" style="172" customWidth="1"/>
    <col min="11" max="11" width="8.875" style="172" customWidth="1"/>
    <col min="12" max="14" width="10.625" style="172" customWidth="1"/>
    <col min="15" max="15" width="10.0859375" style="172" customWidth="1"/>
    <col min="16" max="16" width="9.953125" style="172" customWidth="1"/>
    <col min="17" max="17" width="2.6875" style="172" customWidth="1"/>
    <col min="18" max="18" width="9.28125" style="172" customWidth="1"/>
    <col min="19" max="20" width="8.875" style="172" customWidth="1"/>
    <col min="21" max="21" width="9.28125" style="172" customWidth="1"/>
    <col min="22" max="252" width="8.875" style="172"/>
    <col min="253" max="253" width="2.28515625" style="172" customWidth="1"/>
    <col min="254" max="257" width="8.875" style="172" customWidth="1"/>
    <col min="258" max="259" width="9.28125" style="172" customWidth="1"/>
    <col min="260" max="261" width="8.875" style="172" customWidth="1"/>
    <col min="262" max="262" width="8.47265625" style="172" customWidth="1"/>
    <col min="263" max="263" width="8.875" style="172" customWidth="1"/>
    <col min="264" max="264" width="9.68359375" style="172" customWidth="1"/>
    <col min="265" max="265" width="9.14453125" style="172" customWidth="1"/>
    <col min="266" max="266" width="9.55078125" style="172" customWidth="1"/>
    <col min="267" max="272" width="8.875" style="172" customWidth="1"/>
    <col min="273" max="273" width="9.4140625" style="172" customWidth="1"/>
    <col min="274" max="274" width="9.28125" style="172" customWidth="1"/>
    <col min="275" max="276" width="8.875" style="172" customWidth="1"/>
    <col min="277" max="277" width="9.28125" style="172" customWidth="1"/>
    <col min="278" max="508" width="8.875" style="172"/>
    <col min="509" max="509" width="2.28515625" style="172" customWidth="1"/>
    <col min="510" max="513" width="8.875" style="172" customWidth="1"/>
    <col min="514" max="515" width="9.28125" style="172" customWidth="1"/>
    <col min="516" max="517" width="8.875" style="172" customWidth="1"/>
    <col min="518" max="518" width="8.47265625" style="172" customWidth="1"/>
    <col min="519" max="519" width="8.875" style="172" customWidth="1"/>
    <col min="520" max="520" width="9.68359375" style="172" customWidth="1"/>
    <col min="521" max="521" width="9.14453125" style="172" customWidth="1"/>
    <col min="522" max="522" width="9.55078125" style="172" customWidth="1"/>
    <col min="523" max="528" width="8.875" style="172" customWidth="1"/>
    <col min="529" max="529" width="9.4140625" style="172" customWidth="1"/>
    <col min="530" max="530" width="9.28125" style="172" customWidth="1"/>
    <col min="531" max="532" width="8.875" style="172" customWidth="1"/>
    <col min="533" max="533" width="9.28125" style="172" customWidth="1"/>
    <col min="534" max="764" width="8.875" style="172"/>
    <col min="765" max="765" width="2.28515625" style="172" customWidth="1"/>
    <col min="766" max="769" width="8.875" style="172" customWidth="1"/>
    <col min="770" max="771" width="9.28125" style="172" customWidth="1"/>
    <col min="772" max="773" width="8.875" style="172" customWidth="1"/>
    <col min="774" max="774" width="8.47265625" style="172" customWidth="1"/>
    <col min="775" max="775" width="8.875" style="172" customWidth="1"/>
    <col min="776" max="776" width="9.68359375" style="172" customWidth="1"/>
    <col min="777" max="777" width="9.14453125" style="172" customWidth="1"/>
    <col min="778" max="778" width="9.55078125" style="172" customWidth="1"/>
    <col min="779" max="784" width="8.875" style="172" customWidth="1"/>
    <col min="785" max="785" width="9.4140625" style="172" customWidth="1"/>
    <col min="786" max="786" width="9.28125" style="172" customWidth="1"/>
    <col min="787" max="788" width="8.875" style="172" customWidth="1"/>
    <col min="789" max="789" width="9.28125" style="172" customWidth="1"/>
    <col min="790" max="1020" width="8.875" style="172"/>
    <col min="1021" max="1021" width="2.28515625" style="172" customWidth="1"/>
    <col min="1022" max="1025" width="8.875" style="172" customWidth="1"/>
    <col min="1026" max="1027" width="9.28125" style="172" customWidth="1"/>
    <col min="1028" max="1029" width="8.875" style="172" customWidth="1"/>
    <col min="1030" max="1030" width="8.47265625" style="172" customWidth="1"/>
    <col min="1031" max="1031" width="8.875" style="172" customWidth="1"/>
    <col min="1032" max="1032" width="9.68359375" style="172" customWidth="1"/>
    <col min="1033" max="1033" width="9.14453125" style="172" customWidth="1"/>
    <col min="1034" max="1034" width="9.55078125" style="172" customWidth="1"/>
    <col min="1035" max="1040" width="8.875" style="172" customWidth="1"/>
    <col min="1041" max="1041" width="9.4140625" style="172" customWidth="1"/>
    <col min="1042" max="1042" width="9.28125" style="172" customWidth="1"/>
    <col min="1043" max="1044" width="8.875" style="172" customWidth="1"/>
    <col min="1045" max="1045" width="9.28125" style="172" customWidth="1"/>
    <col min="1046" max="1276" width="8.875" style="172"/>
    <col min="1277" max="1277" width="2.28515625" style="172" customWidth="1"/>
    <col min="1278" max="1281" width="8.875" style="172" customWidth="1"/>
    <col min="1282" max="1283" width="9.28125" style="172" customWidth="1"/>
    <col min="1284" max="1285" width="8.875" style="172" customWidth="1"/>
    <col min="1286" max="1286" width="8.47265625" style="172" customWidth="1"/>
    <col min="1287" max="1287" width="8.875" style="172" customWidth="1"/>
    <col min="1288" max="1288" width="9.68359375" style="172" customWidth="1"/>
    <col min="1289" max="1289" width="9.14453125" style="172" customWidth="1"/>
    <col min="1290" max="1290" width="9.55078125" style="172" customWidth="1"/>
    <col min="1291" max="1296" width="8.875" style="172" customWidth="1"/>
    <col min="1297" max="1297" width="9.4140625" style="172" customWidth="1"/>
    <col min="1298" max="1298" width="9.28125" style="172" customWidth="1"/>
    <col min="1299" max="1300" width="8.875" style="172" customWidth="1"/>
    <col min="1301" max="1301" width="9.28125" style="172" customWidth="1"/>
    <col min="1302" max="1532" width="8.875" style="172"/>
    <col min="1533" max="1533" width="2.28515625" style="172" customWidth="1"/>
    <col min="1534" max="1537" width="8.875" style="172" customWidth="1"/>
    <col min="1538" max="1539" width="9.28125" style="172" customWidth="1"/>
    <col min="1540" max="1541" width="8.875" style="172" customWidth="1"/>
    <col min="1542" max="1542" width="8.47265625" style="172" customWidth="1"/>
    <col min="1543" max="1543" width="8.875" style="172" customWidth="1"/>
    <col min="1544" max="1544" width="9.68359375" style="172" customWidth="1"/>
    <col min="1545" max="1545" width="9.14453125" style="172" customWidth="1"/>
    <col min="1546" max="1546" width="9.55078125" style="172" customWidth="1"/>
    <col min="1547" max="1552" width="8.875" style="172" customWidth="1"/>
    <col min="1553" max="1553" width="9.4140625" style="172" customWidth="1"/>
    <col min="1554" max="1554" width="9.28125" style="172" customWidth="1"/>
    <col min="1555" max="1556" width="8.875" style="172" customWidth="1"/>
    <col min="1557" max="1557" width="9.28125" style="172" customWidth="1"/>
    <col min="1558" max="1788" width="8.875" style="172"/>
    <col min="1789" max="1789" width="2.28515625" style="172" customWidth="1"/>
    <col min="1790" max="1793" width="8.875" style="172" customWidth="1"/>
    <col min="1794" max="1795" width="9.28125" style="172" customWidth="1"/>
    <col min="1796" max="1797" width="8.875" style="172" customWidth="1"/>
    <col min="1798" max="1798" width="8.47265625" style="172" customWidth="1"/>
    <col min="1799" max="1799" width="8.875" style="172" customWidth="1"/>
    <col min="1800" max="1800" width="9.68359375" style="172" customWidth="1"/>
    <col min="1801" max="1801" width="9.14453125" style="172" customWidth="1"/>
    <col min="1802" max="1802" width="9.55078125" style="172" customWidth="1"/>
    <col min="1803" max="1808" width="8.875" style="172" customWidth="1"/>
    <col min="1809" max="1809" width="9.4140625" style="172" customWidth="1"/>
    <col min="1810" max="1810" width="9.28125" style="172" customWidth="1"/>
    <col min="1811" max="1812" width="8.875" style="172" customWidth="1"/>
    <col min="1813" max="1813" width="9.28125" style="172" customWidth="1"/>
    <col min="1814" max="2044" width="8.875" style="172"/>
    <col min="2045" max="2045" width="2.28515625" style="172" customWidth="1"/>
    <col min="2046" max="2049" width="8.875" style="172" customWidth="1"/>
    <col min="2050" max="2051" width="9.28125" style="172" customWidth="1"/>
    <col min="2052" max="2053" width="8.875" style="172" customWidth="1"/>
    <col min="2054" max="2054" width="8.47265625" style="172" customWidth="1"/>
    <col min="2055" max="2055" width="8.875" style="172" customWidth="1"/>
    <col min="2056" max="2056" width="9.68359375" style="172" customWidth="1"/>
    <col min="2057" max="2057" width="9.14453125" style="172" customWidth="1"/>
    <col min="2058" max="2058" width="9.55078125" style="172" customWidth="1"/>
    <col min="2059" max="2064" width="8.875" style="172" customWidth="1"/>
    <col min="2065" max="2065" width="9.4140625" style="172" customWidth="1"/>
    <col min="2066" max="2066" width="9.28125" style="172" customWidth="1"/>
    <col min="2067" max="2068" width="8.875" style="172" customWidth="1"/>
    <col min="2069" max="2069" width="9.28125" style="172" customWidth="1"/>
    <col min="2070" max="2300" width="8.875" style="172"/>
    <col min="2301" max="2301" width="2.28515625" style="172" customWidth="1"/>
    <col min="2302" max="2305" width="8.875" style="172" customWidth="1"/>
    <col min="2306" max="2307" width="9.28125" style="172" customWidth="1"/>
    <col min="2308" max="2309" width="8.875" style="172" customWidth="1"/>
    <col min="2310" max="2310" width="8.47265625" style="172" customWidth="1"/>
    <col min="2311" max="2311" width="8.875" style="172" customWidth="1"/>
    <col min="2312" max="2312" width="9.68359375" style="172" customWidth="1"/>
    <col min="2313" max="2313" width="9.14453125" style="172" customWidth="1"/>
    <col min="2314" max="2314" width="9.55078125" style="172" customWidth="1"/>
    <col min="2315" max="2320" width="8.875" style="172" customWidth="1"/>
    <col min="2321" max="2321" width="9.4140625" style="172" customWidth="1"/>
    <col min="2322" max="2322" width="9.28125" style="172" customWidth="1"/>
    <col min="2323" max="2324" width="8.875" style="172" customWidth="1"/>
    <col min="2325" max="2325" width="9.28125" style="172" customWidth="1"/>
    <col min="2326" max="2556" width="8.875" style="172"/>
    <col min="2557" max="2557" width="2.28515625" style="172" customWidth="1"/>
    <col min="2558" max="2561" width="8.875" style="172" customWidth="1"/>
    <col min="2562" max="2563" width="9.28125" style="172" customWidth="1"/>
    <col min="2564" max="2565" width="8.875" style="172" customWidth="1"/>
    <col min="2566" max="2566" width="8.47265625" style="172" customWidth="1"/>
    <col min="2567" max="2567" width="8.875" style="172" customWidth="1"/>
    <col min="2568" max="2568" width="9.68359375" style="172" customWidth="1"/>
    <col min="2569" max="2569" width="9.14453125" style="172" customWidth="1"/>
    <col min="2570" max="2570" width="9.55078125" style="172" customWidth="1"/>
    <col min="2571" max="2576" width="8.875" style="172" customWidth="1"/>
    <col min="2577" max="2577" width="9.4140625" style="172" customWidth="1"/>
    <col min="2578" max="2578" width="9.28125" style="172" customWidth="1"/>
    <col min="2579" max="2580" width="8.875" style="172" customWidth="1"/>
    <col min="2581" max="2581" width="9.28125" style="172" customWidth="1"/>
    <col min="2582" max="2812" width="8.875" style="172"/>
    <col min="2813" max="2813" width="2.28515625" style="172" customWidth="1"/>
    <col min="2814" max="2817" width="8.875" style="172" customWidth="1"/>
    <col min="2818" max="2819" width="9.28125" style="172" customWidth="1"/>
    <col min="2820" max="2821" width="8.875" style="172" customWidth="1"/>
    <col min="2822" max="2822" width="8.47265625" style="172" customWidth="1"/>
    <col min="2823" max="2823" width="8.875" style="172" customWidth="1"/>
    <col min="2824" max="2824" width="9.68359375" style="172" customWidth="1"/>
    <col min="2825" max="2825" width="9.14453125" style="172" customWidth="1"/>
    <col min="2826" max="2826" width="9.55078125" style="172" customWidth="1"/>
    <col min="2827" max="2832" width="8.875" style="172" customWidth="1"/>
    <col min="2833" max="2833" width="9.4140625" style="172" customWidth="1"/>
    <col min="2834" max="2834" width="9.28125" style="172" customWidth="1"/>
    <col min="2835" max="2836" width="8.875" style="172" customWidth="1"/>
    <col min="2837" max="2837" width="9.28125" style="172" customWidth="1"/>
    <col min="2838" max="3068" width="8.875" style="172"/>
    <col min="3069" max="3069" width="2.28515625" style="172" customWidth="1"/>
    <col min="3070" max="3073" width="8.875" style="172" customWidth="1"/>
    <col min="3074" max="3075" width="9.28125" style="172" customWidth="1"/>
    <col min="3076" max="3077" width="8.875" style="172" customWidth="1"/>
    <col min="3078" max="3078" width="8.47265625" style="172" customWidth="1"/>
    <col min="3079" max="3079" width="8.875" style="172" customWidth="1"/>
    <col min="3080" max="3080" width="9.68359375" style="172" customWidth="1"/>
    <col min="3081" max="3081" width="9.14453125" style="172" customWidth="1"/>
    <col min="3082" max="3082" width="9.55078125" style="172" customWidth="1"/>
    <col min="3083" max="3088" width="8.875" style="172" customWidth="1"/>
    <col min="3089" max="3089" width="9.4140625" style="172" customWidth="1"/>
    <col min="3090" max="3090" width="9.28125" style="172" customWidth="1"/>
    <col min="3091" max="3092" width="8.875" style="172" customWidth="1"/>
    <col min="3093" max="3093" width="9.28125" style="172" customWidth="1"/>
    <col min="3094" max="3324" width="8.875" style="172"/>
    <col min="3325" max="3325" width="2.28515625" style="172" customWidth="1"/>
    <col min="3326" max="3329" width="8.875" style="172" customWidth="1"/>
    <col min="3330" max="3331" width="9.28125" style="172" customWidth="1"/>
    <col min="3332" max="3333" width="8.875" style="172" customWidth="1"/>
    <col min="3334" max="3334" width="8.47265625" style="172" customWidth="1"/>
    <col min="3335" max="3335" width="8.875" style="172" customWidth="1"/>
    <col min="3336" max="3336" width="9.68359375" style="172" customWidth="1"/>
    <col min="3337" max="3337" width="9.14453125" style="172" customWidth="1"/>
    <col min="3338" max="3338" width="9.55078125" style="172" customWidth="1"/>
    <col min="3339" max="3344" width="8.875" style="172" customWidth="1"/>
    <col min="3345" max="3345" width="9.4140625" style="172" customWidth="1"/>
    <col min="3346" max="3346" width="9.28125" style="172" customWidth="1"/>
    <col min="3347" max="3348" width="8.875" style="172" customWidth="1"/>
    <col min="3349" max="3349" width="9.28125" style="172" customWidth="1"/>
    <col min="3350" max="3580" width="8.875" style="172"/>
    <col min="3581" max="3581" width="2.28515625" style="172" customWidth="1"/>
    <col min="3582" max="3585" width="8.875" style="172" customWidth="1"/>
    <col min="3586" max="3587" width="9.28125" style="172" customWidth="1"/>
    <col min="3588" max="3589" width="8.875" style="172" customWidth="1"/>
    <col min="3590" max="3590" width="8.47265625" style="172" customWidth="1"/>
    <col min="3591" max="3591" width="8.875" style="172" customWidth="1"/>
    <col min="3592" max="3592" width="9.68359375" style="172" customWidth="1"/>
    <col min="3593" max="3593" width="9.14453125" style="172" customWidth="1"/>
    <col min="3594" max="3594" width="9.55078125" style="172" customWidth="1"/>
    <col min="3595" max="3600" width="8.875" style="172" customWidth="1"/>
    <col min="3601" max="3601" width="9.4140625" style="172" customWidth="1"/>
    <col min="3602" max="3602" width="9.28125" style="172" customWidth="1"/>
    <col min="3603" max="3604" width="8.875" style="172" customWidth="1"/>
    <col min="3605" max="3605" width="9.28125" style="172" customWidth="1"/>
    <col min="3606" max="3836" width="8.875" style="172"/>
    <col min="3837" max="3837" width="2.28515625" style="172" customWidth="1"/>
    <col min="3838" max="3841" width="8.875" style="172" customWidth="1"/>
    <col min="3842" max="3843" width="9.28125" style="172" customWidth="1"/>
    <col min="3844" max="3845" width="8.875" style="172" customWidth="1"/>
    <col min="3846" max="3846" width="8.47265625" style="172" customWidth="1"/>
    <col min="3847" max="3847" width="8.875" style="172" customWidth="1"/>
    <col min="3848" max="3848" width="9.68359375" style="172" customWidth="1"/>
    <col min="3849" max="3849" width="9.14453125" style="172" customWidth="1"/>
    <col min="3850" max="3850" width="9.55078125" style="172" customWidth="1"/>
    <col min="3851" max="3856" width="8.875" style="172" customWidth="1"/>
    <col min="3857" max="3857" width="9.4140625" style="172" customWidth="1"/>
    <col min="3858" max="3858" width="9.28125" style="172" customWidth="1"/>
    <col min="3859" max="3860" width="8.875" style="172" customWidth="1"/>
    <col min="3861" max="3861" width="9.28125" style="172" customWidth="1"/>
    <col min="3862" max="4092" width="8.875" style="172"/>
    <col min="4093" max="4093" width="2.28515625" style="172" customWidth="1"/>
    <col min="4094" max="4097" width="8.875" style="172" customWidth="1"/>
    <col min="4098" max="4099" width="9.28125" style="172" customWidth="1"/>
    <col min="4100" max="4101" width="8.875" style="172" customWidth="1"/>
    <col min="4102" max="4102" width="8.47265625" style="172" customWidth="1"/>
    <col min="4103" max="4103" width="8.875" style="172" customWidth="1"/>
    <col min="4104" max="4104" width="9.68359375" style="172" customWidth="1"/>
    <col min="4105" max="4105" width="9.14453125" style="172" customWidth="1"/>
    <col min="4106" max="4106" width="9.55078125" style="172" customWidth="1"/>
    <col min="4107" max="4112" width="8.875" style="172" customWidth="1"/>
    <col min="4113" max="4113" width="9.4140625" style="172" customWidth="1"/>
    <col min="4114" max="4114" width="9.28125" style="172" customWidth="1"/>
    <col min="4115" max="4116" width="8.875" style="172" customWidth="1"/>
    <col min="4117" max="4117" width="9.28125" style="172" customWidth="1"/>
    <col min="4118" max="4348" width="8.875" style="172"/>
    <col min="4349" max="4349" width="2.28515625" style="172" customWidth="1"/>
    <col min="4350" max="4353" width="8.875" style="172" customWidth="1"/>
    <col min="4354" max="4355" width="9.28125" style="172" customWidth="1"/>
    <col min="4356" max="4357" width="8.875" style="172" customWidth="1"/>
    <col min="4358" max="4358" width="8.47265625" style="172" customWidth="1"/>
    <col min="4359" max="4359" width="8.875" style="172" customWidth="1"/>
    <col min="4360" max="4360" width="9.68359375" style="172" customWidth="1"/>
    <col min="4361" max="4361" width="9.14453125" style="172" customWidth="1"/>
    <col min="4362" max="4362" width="9.55078125" style="172" customWidth="1"/>
    <col min="4363" max="4368" width="8.875" style="172" customWidth="1"/>
    <col min="4369" max="4369" width="9.4140625" style="172" customWidth="1"/>
    <col min="4370" max="4370" width="9.28125" style="172" customWidth="1"/>
    <col min="4371" max="4372" width="8.875" style="172" customWidth="1"/>
    <col min="4373" max="4373" width="9.28125" style="172" customWidth="1"/>
    <col min="4374" max="4604" width="8.875" style="172"/>
    <col min="4605" max="4605" width="2.28515625" style="172" customWidth="1"/>
    <col min="4606" max="4609" width="8.875" style="172" customWidth="1"/>
    <col min="4610" max="4611" width="9.28125" style="172" customWidth="1"/>
    <col min="4612" max="4613" width="8.875" style="172" customWidth="1"/>
    <col min="4614" max="4614" width="8.47265625" style="172" customWidth="1"/>
    <col min="4615" max="4615" width="8.875" style="172" customWidth="1"/>
    <col min="4616" max="4616" width="9.68359375" style="172" customWidth="1"/>
    <col min="4617" max="4617" width="9.14453125" style="172" customWidth="1"/>
    <col min="4618" max="4618" width="9.55078125" style="172" customWidth="1"/>
    <col min="4619" max="4624" width="8.875" style="172" customWidth="1"/>
    <col min="4625" max="4625" width="9.4140625" style="172" customWidth="1"/>
    <col min="4626" max="4626" width="9.28125" style="172" customWidth="1"/>
    <col min="4627" max="4628" width="8.875" style="172" customWidth="1"/>
    <col min="4629" max="4629" width="9.28125" style="172" customWidth="1"/>
    <col min="4630" max="4860" width="8.875" style="172"/>
    <col min="4861" max="4861" width="2.28515625" style="172" customWidth="1"/>
    <col min="4862" max="4865" width="8.875" style="172" customWidth="1"/>
    <col min="4866" max="4867" width="9.28125" style="172" customWidth="1"/>
    <col min="4868" max="4869" width="8.875" style="172" customWidth="1"/>
    <col min="4870" max="4870" width="8.47265625" style="172" customWidth="1"/>
    <col min="4871" max="4871" width="8.875" style="172" customWidth="1"/>
    <col min="4872" max="4872" width="9.68359375" style="172" customWidth="1"/>
    <col min="4873" max="4873" width="9.14453125" style="172" customWidth="1"/>
    <col min="4874" max="4874" width="9.55078125" style="172" customWidth="1"/>
    <col min="4875" max="4880" width="8.875" style="172" customWidth="1"/>
    <col min="4881" max="4881" width="9.4140625" style="172" customWidth="1"/>
    <col min="4882" max="4882" width="9.28125" style="172" customWidth="1"/>
    <col min="4883" max="4884" width="8.875" style="172" customWidth="1"/>
    <col min="4885" max="4885" width="9.28125" style="172" customWidth="1"/>
    <col min="4886" max="5116" width="8.875" style="172"/>
    <col min="5117" max="5117" width="2.28515625" style="172" customWidth="1"/>
    <col min="5118" max="5121" width="8.875" style="172" customWidth="1"/>
    <col min="5122" max="5123" width="9.28125" style="172" customWidth="1"/>
    <col min="5124" max="5125" width="8.875" style="172" customWidth="1"/>
    <col min="5126" max="5126" width="8.47265625" style="172" customWidth="1"/>
    <col min="5127" max="5127" width="8.875" style="172" customWidth="1"/>
    <col min="5128" max="5128" width="9.68359375" style="172" customWidth="1"/>
    <col min="5129" max="5129" width="9.14453125" style="172" customWidth="1"/>
    <col min="5130" max="5130" width="9.55078125" style="172" customWidth="1"/>
    <col min="5131" max="5136" width="8.875" style="172" customWidth="1"/>
    <col min="5137" max="5137" width="9.4140625" style="172" customWidth="1"/>
    <col min="5138" max="5138" width="9.28125" style="172" customWidth="1"/>
    <col min="5139" max="5140" width="8.875" style="172" customWidth="1"/>
    <col min="5141" max="5141" width="9.28125" style="172" customWidth="1"/>
    <col min="5142" max="5372" width="8.875" style="172"/>
    <col min="5373" max="5373" width="2.28515625" style="172" customWidth="1"/>
    <col min="5374" max="5377" width="8.875" style="172" customWidth="1"/>
    <col min="5378" max="5379" width="9.28125" style="172" customWidth="1"/>
    <col min="5380" max="5381" width="8.875" style="172" customWidth="1"/>
    <col min="5382" max="5382" width="8.47265625" style="172" customWidth="1"/>
    <col min="5383" max="5383" width="8.875" style="172" customWidth="1"/>
    <col min="5384" max="5384" width="9.68359375" style="172" customWidth="1"/>
    <col min="5385" max="5385" width="9.14453125" style="172" customWidth="1"/>
    <col min="5386" max="5386" width="9.55078125" style="172" customWidth="1"/>
    <col min="5387" max="5392" width="8.875" style="172" customWidth="1"/>
    <col min="5393" max="5393" width="9.4140625" style="172" customWidth="1"/>
    <col min="5394" max="5394" width="9.28125" style="172" customWidth="1"/>
    <col min="5395" max="5396" width="8.875" style="172" customWidth="1"/>
    <col min="5397" max="5397" width="9.28125" style="172" customWidth="1"/>
    <col min="5398" max="5628" width="8.875" style="172"/>
    <col min="5629" max="5629" width="2.28515625" style="172" customWidth="1"/>
    <col min="5630" max="5633" width="8.875" style="172" customWidth="1"/>
    <col min="5634" max="5635" width="9.28125" style="172" customWidth="1"/>
    <col min="5636" max="5637" width="8.875" style="172" customWidth="1"/>
    <col min="5638" max="5638" width="8.47265625" style="172" customWidth="1"/>
    <col min="5639" max="5639" width="8.875" style="172" customWidth="1"/>
    <col min="5640" max="5640" width="9.68359375" style="172" customWidth="1"/>
    <col min="5641" max="5641" width="9.14453125" style="172" customWidth="1"/>
    <col min="5642" max="5642" width="9.55078125" style="172" customWidth="1"/>
    <col min="5643" max="5648" width="8.875" style="172" customWidth="1"/>
    <col min="5649" max="5649" width="9.4140625" style="172" customWidth="1"/>
    <col min="5650" max="5650" width="9.28125" style="172" customWidth="1"/>
    <col min="5651" max="5652" width="8.875" style="172" customWidth="1"/>
    <col min="5653" max="5653" width="9.28125" style="172" customWidth="1"/>
    <col min="5654" max="5884" width="8.875" style="172"/>
    <col min="5885" max="5885" width="2.28515625" style="172" customWidth="1"/>
    <col min="5886" max="5889" width="8.875" style="172" customWidth="1"/>
    <col min="5890" max="5891" width="9.28125" style="172" customWidth="1"/>
    <col min="5892" max="5893" width="8.875" style="172" customWidth="1"/>
    <col min="5894" max="5894" width="8.47265625" style="172" customWidth="1"/>
    <col min="5895" max="5895" width="8.875" style="172" customWidth="1"/>
    <col min="5896" max="5896" width="9.68359375" style="172" customWidth="1"/>
    <col min="5897" max="5897" width="9.14453125" style="172" customWidth="1"/>
    <col min="5898" max="5898" width="9.55078125" style="172" customWidth="1"/>
    <col min="5899" max="5904" width="8.875" style="172" customWidth="1"/>
    <col min="5905" max="5905" width="9.4140625" style="172" customWidth="1"/>
    <col min="5906" max="5906" width="9.28125" style="172" customWidth="1"/>
    <col min="5907" max="5908" width="8.875" style="172" customWidth="1"/>
    <col min="5909" max="5909" width="9.28125" style="172" customWidth="1"/>
    <col min="5910" max="6140" width="8.875" style="172"/>
    <col min="6141" max="6141" width="2.28515625" style="172" customWidth="1"/>
    <col min="6142" max="6145" width="8.875" style="172" customWidth="1"/>
    <col min="6146" max="6147" width="9.28125" style="172" customWidth="1"/>
    <col min="6148" max="6149" width="8.875" style="172" customWidth="1"/>
    <col min="6150" max="6150" width="8.47265625" style="172" customWidth="1"/>
    <col min="6151" max="6151" width="8.875" style="172" customWidth="1"/>
    <col min="6152" max="6152" width="9.68359375" style="172" customWidth="1"/>
    <col min="6153" max="6153" width="9.14453125" style="172" customWidth="1"/>
    <col min="6154" max="6154" width="9.55078125" style="172" customWidth="1"/>
    <col min="6155" max="6160" width="8.875" style="172" customWidth="1"/>
    <col min="6161" max="6161" width="9.4140625" style="172" customWidth="1"/>
    <col min="6162" max="6162" width="9.28125" style="172" customWidth="1"/>
    <col min="6163" max="6164" width="8.875" style="172" customWidth="1"/>
    <col min="6165" max="6165" width="9.28125" style="172" customWidth="1"/>
    <col min="6166" max="6396" width="8.875" style="172"/>
    <col min="6397" max="6397" width="2.28515625" style="172" customWidth="1"/>
    <col min="6398" max="6401" width="8.875" style="172" customWidth="1"/>
    <col min="6402" max="6403" width="9.28125" style="172" customWidth="1"/>
    <col min="6404" max="6405" width="8.875" style="172" customWidth="1"/>
    <col min="6406" max="6406" width="8.47265625" style="172" customWidth="1"/>
    <col min="6407" max="6407" width="8.875" style="172" customWidth="1"/>
    <col min="6408" max="6408" width="9.68359375" style="172" customWidth="1"/>
    <col min="6409" max="6409" width="9.14453125" style="172" customWidth="1"/>
    <col min="6410" max="6410" width="9.55078125" style="172" customWidth="1"/>
    <col min="6411" max="6416" width="8.875" style="172" customWidth="1"/>
    <col min="6417" max="6417" width="9.4140625" style="172" customWidth="1"/>
    <col min="6418" max="6418" width="9.28125" style="172" customWidth="1"/>
    <col min="6419" max="6420" width="8.875" style="172" customWidth="1"/>
    <col min="6421" max="6421" width="9.28125" style="172" customWidth="1"/>
    <col min="6422" max="6652" width="8.875" style="172"/>
    <col min="6653" max="6653" width="2.28515625" style="172" customWidth="1"/>
    <col min="6654" max="6657" width="8.875" style="172" customWidth="1"/>
    <col min="6658" max="6659" width="9.28125" style="172" customWidth="1"/>
    <col min="6660" max="6661" width="8.875" style="172" customWidth="1"/>
    <col min="6662" max="6662" width="8.47265625" style="172" customWidth="1"/>
    <col min="6663" max="6663" width="8.875" style="172" customWidth="1"/>
    <col min="6664" max="6664" width="9.68359375" style="172" customWidth="1"/>
    <col min="6665" max="6665" width="9.14453125" style="172" customWidth="1"/>
    <col min="6666" max="6666" width="9.55078125" style="172" customWidth="1"/>
    <col min="6667" max="6672" width="8.875" style="172" customWidth="1"/>
    <col min="6673" max="6673" width="9.4140625" style="172" customWidth="1"/>
    <col min="6674" max="6674" width="9.28125" style="172" customWidth="1"/>
    <col min="6675" max="6676" width="8.875" style="172" customWidth="1"/>
    <col min="6677" max="6677" width="9.28125" style="172" customWidth="1"/>
    <col min="6678" max="6908" width="8.875" style="172"/>
    <col min="6909" max="6909" width="2.28515625" style="172" customWidth="1"/>
    <col min="6910" max="6913" width="8.875" style="172" customWidth="1"/>
    <col min="6914" max="6915" width="9.28125" style="172" customWidth="1"/>
    <col min="6916" max="6917" width="8.875" style="172" customWidth="1"/>
    <col min="6918" max="6918" width="8.47265625" style="172" customWidth="1"/>
    <col min="6919" max="6919" width="8.875" style="172" customWidth="1"/>
    <col min="6920" max="6920" width="9.68359375" style="172" customWidth="1"/>
    <col min="6921" max="6921" width="9.14453125" style="172" customWidth="1"/>
    <col min="6922" max="6922" width="9.55078125" style="172" customWidth="1"/>
    <col min="6923" max="6928" width="8.875" style="172" customWidth="1"/>
    <col min="6929" max="6929" width="9.4140625" style="172" customWidth="1"/>
    <col min="6930" max="6930" width="9.28125" style="172" customWidth="1"/>
    <col min="6931" max="6932" width="8.875" style="172" customWidth="1"/>
    <col min="6933" max="6933" width="9.28125" style="172" customWidth="1"/>
    <col min="6934" max="7164" width="8.875" style="172"/>
    <col min="7165" max="7165" width="2.28515625" style="172" customWidth="1"/>
    <col min="7166" max="7169" width="8.875" style="172" customWidth="1"/>
    <col min="7170" max="7171" width="9.28125" style="172" customWidth="1"/>
    <col min="7172" max="7173" width="8.875" style="172" customWidth="1"/>
    <col min="7174" max="7174" width="8.47265625" style="172" customWidth="1"/>
    <col min="7175" max="7175" width="8.875" style="172" customWidth="1"/>
    <col min="7176" max="7176" width="9.68359375" style="172" customWidth="1"/>
    <col min="7177" max="7177" width="9.14453125" style="172" customWidth="1"/>
    <col min="7178" max="7178" width="9.55078125" style="172" customWidth="1"/>
    <col min="7179" max="7184" width="8.875" style="172" customWidth="1"/>
    <col min="7185" max="7185" width="9.4140625" style="172" customWidth="1"/>
    <col min="7186" max="7186" width="9.28125" style="172" customWidth="1"/>
    <col min="7187" max="7188" width="8.875" style="172" customWidth="1"/>
    <col min="7189" max="7189" width="9.28125" style="172" customWidth="1"/>
    <col min="7190" max="7420" width="8.875" style="172"/>
    <col min="7421" max="7421" width="2.28515625" style="172" customWidth="1"/>
    <col min="7422" max="7425" width="8.875" style="172" customWidth="1"/>
    <col min="7426" max="7427" width="9.28125" style="172" customWidth="1"/>
    <col min="7428" max="7429" width="8.875" style="172" customWidth="1"/>
    <col min="7430" max="7430" width="8.47265625" style="172" customWidth="1"/>
    <col min="7431" max="7431" width="8.875" style="172" customWidth="1"/>
    <col min="7432" max="7432" width="9.68359375" style="172" customWidth="1"/>
    <col min="7433" max="7433" width="9.14453125" style="172" customWidth="1"/>
    <col min="7434" max="7434" width="9.55078125" style="172" customWidth="1"/>
    <col min="7435" max="7440" width="8.875" style="172" customWidth="1"/>
    <col min="7441" max="7441" width="9.4140625" style="172" customWidth="1"/>
    <col min="7442" max="7442" width="9.28125" style="172" customWidth="1"/>
    <col min="7443" max="7444" width="8.875" style="172" customWidth="1"/>
    <col min="7445" max="7445" width="9.28125" style="172" customWidth="1"/>
    <col min="7446" max="7676" width="8.875" style="172"/>
    <col min="7677" max="7677" width="2.28515625" style="172" customWidth="1"/>
    <col min="7678" max="7681" width="8.875" style="172" customWidth="1"/>
    <col min="7682" max="7683" width="9.28125" style="172" customWidth="1"/>
    <col min="7684" max="7685" width="8.875" style="172" customWidth="1"/>
    <col min="7686" max="7686" width="8.47265625" style="172" customWidth="1"/>
    <col min="7687" max="7687" width="8.875" style="172" customWidth="1"/>
    <col min="7688" max="7688" width="9.68359375" style="172" customWidth="1"/>
    <col min="7689" max="7689" width="9.14453125" style="172" customWidth="1"/>
    <col min="7690" max="7690" width="9.55078125" style="172" customWidth="1"/>
    <col min="7691" max="7696" width="8.875" style="172" customWidth="1"/>
    <col min="7697" max="7697" width="9.4140625" style="172" customWidth="1"/>
    <col min="7698" max="7698" width="9.28125" style="172" customWidth="1"/>
    <col min="7699" max="7700" width="8.875" style="172" customWidth="1"/>
    <col min="7701" max="7701" width="9.28125" style="172" customWidth="1"/>
    <col min="7702" max="7932" width="8.875" style="172"/>
    <col min="7933" max="7933" width="2.28515625" style="172" customWidth="1"/>
    <col min="7934" max="7937" width="8.875" style="172" customWidth="1"/>
    <col min="7938" max="7939" width="9.28125" style="172" customWidth="1"/>
    <col min="7940" max="7941" width="8.875" style="172" customWidth="1"/>
    <col min="7942" max="7942" width="8.47265625" style="172" customWidth="1"/>
    <col min="7943" max="7943" width="8.875" style="172" customWidth="1"/>
    <col min="7944" max="7944" width="9.68359375" style="172" customWidth="1"/>
    <col min="7945" max="7945" width="9.14453125" style="172" customWidth="1"/>
    <col min="7946" max="7946" width="9.55078125" style="172" customWidth="1"/>
    <col min="7947" max="7952" width="8.875" style="172" customWidth="1"/>
    <col min="7953" max="7953" width="9.4140625" style="172" customWidth="1"/>
    <col min="7954" max="7954" width="9.28125" style="172" customWidth="1"/>
    <col min="7955" max="7956" width="8.875" style="172" customWidth="1"/>
    <col min="7957" max="7957" width="9.28125" style="172" customWidth="1"/>
    <col min="7958" max="8188" width="8.875" style="172"/>
    <col min="8189" max="8189" width="2.28515625" style="172" customWidth="1"/>
    <col min="8190" max="8193" width="8.875" style="172" customWidth="1"/>
    <col min="8194" max="8195" width="9.28125" style="172" customWidth="1"/>
    <col min="8196" max="8197" width="8.875" style="172" customWidth="1"/>
    <col min="8198" max="8198" width="8.47265625" style="172" customWidth="1"/>
    <col min="8199" max="8199" width="8.875" style="172" customWidth="1"/>
    <col min="8200" max="8200" width="9.68359375" style="172" customWidth="1"/>
    <col min="8201" max="8201" width="9.14453125" style="172" customWidth="1"/>
    <col min="8202" max="8202" width="9.55078125" style="172" customWidth="1"/>
    <col min="8203" max="8208" width="8.875" style="172" customWidth="1"/>
    <col min="8209" max="8209" width="9.4140625" style="172" customWidth="1"/>
    <col min="8210" max="8210" width="9.28125" style="172" customWidth="1"/>
    <col min="8211" max="8212" width="8.875" style="172" customWidth="1"/>
    <col min="8213" max="8213" width="9.28125" style="172" customWidth="1"/>
    <col min="8214" max="8444" width="8.875" style="172"/>
    <col min="8445" max="8445" width="2.28515625" style="172" customWidth="1"/>
    <col min="8446" max="8449" width="8.875" style="172" customWidth="1"/>
    <col min="8450" max="8451" width="9.28125" style="172" customWidth="1"/>
    <col min="8452" max="8453" width="8.875" style="172" customWidth="1"/>
    <col min="8454" max="8454" width="8.47265625" style="172" customWidth="1"/>
    <col min="8455" max="8455" width="8.875" style="172" customWidth="1"/>
    <col min="8456" max="8456" width="9.68359375" style="172" customWidth="1"/>
    <col min="8457" max="8457" width="9.14453125" style="172" customWidth="1"/>
    <col min="8458" max="8458" width="9.55078125" style="172" customWidth="1"/>
    <col min="8459" max="8464" width="8.875" style="172" customWidth="1"/>
    <col min="8465" max="8465" width="9.4140625" style="172" customWidth="1"/>
    <col min="8466" max="8466" width="9.28125" style="172" customWidth="1"/>
    <col min="8467" max="8468" width="8.875" style="172" customWidth="1"/>
    <col min="8469" max="8469" width="9.28125" style="172" customWidth="1"/>
    <col min="8470" max="8700" width="8.875" style="172"/>
    <col min="8701" max="8701" width="2.28515625" style="172" customWidth="1"/>
    <col min="8702" max="8705" width="8.875" style="172" customWidth="1"/>
    <col min="8706" max="8707" width="9.28125" style="172" customWidth="1"/>
    <col min="8708" max="8709" width="8.875" style="172" customWidth="1"/>
    <col min="8710" max="8710" width="8.47265625" style="172" customWidth="1"/>
    <col min="8711" max="8711" width="8.875" style="172" customWidth="1"/>
    <col min="8712" max="8712" width="9.68359375" style="172" customWidth="1"/>
    <col min="8713" max="8713" width="9.14453125" style="172" customWidth="1"/>
    <col min="8714" max="8714" width="9.55078125" style="172" customWidth="1"/>
    <col min="8715" max="8720" width="8.875" style="172" customWidth="1"/>
    <col min="8721" max="8721" width="9.4140625" style="172" customWidth="1"/>
    <col min="8722" max="8722" width="9.28125" style="172" customWidth="1"/>
    <col min="8723" max="8724" width="8.875" style="172" customWidth="1"/>
    <col min="8725" max="8725" width="9.28125" style="172" customWidth="1"/>
    <col min="8726" max="8956" width="8.875" style="172"/>
    <col min="8957" max="8957" width="2.28515625" style="172" customWidth="1"/>
    <col min="8958" max="8961" width="8.875" style="172" customWidth="1"/>
    <col min="8962" max="8963" width="9.28125" style="172" customWidth="1"/>
    <col min="8964" max="8965" width="8.875" style="172" customWidth="1"/>
    <col min="8966" max="8966" width="8.47265625" style="172" customWidth="1"/>
    <col min="8967" max="8967" width="8.875" style="172" customWidth="1"/>
    <col min="8968" max="8968" width="9.68359375" style="172" customWidth="1"/>
    <col min="8969" max="8969" width="9.14453125" style="172" customWidth="1"/>
    <col min="8970" max="8970" width="9.55078125" style="172" customWidth="1"/>
    <col min="8971" max="8976" width="8.875" style="172" customWidth="1"/>
    <col min="8977" max="8977" width="9.4140625" style="172" customWidth="1"/>
    <col min="8978" max="8978" width="9.28125" style="172" customWidth="1"/>
    <col min="8979" max="8980" width="8.875" style="172" customWidth="1"/>
    <col min="8981" max="8981" width="9.28125" style="172" customWidth="1"/>
    <col min="8982" max="9212" width="8.875" style="172"/>
    <col min="9213" max="9213" width="2.28515625" style="172" customWidth="1"/>
    <col min="9214" max="9217" width="8.875" style="172" customWidth="1"/>
    <col min="9218" max="9219" width="9.28125" style="172" customWidth="1"/>
    <col min="9220" max="9221" width="8.875" style="172" customWidth="1"/>
    <col min="9222" max="9222" width="8.47265625" style="172" customWidth="1"/>
    <col min="9223" max="9223" width="8.875" style="172" customWidth="1"/>
    <col min="9224" max="9224" width="9.68359375" style="172" customWidth="1"/>
    <col min="9225" max="9225" width="9.14453125" style="172" customWidth="1"/>
    <col min="9226" max="9226" width="9.55078125" style="172" customWidth="1"/>
    <col min="9227" max="9232" width="8.875" style="172" customWidth="1"/>
    <col min="9233" max="9233" width="9.4140625" style="172" customWidth="1"/>
    <col min="9234" max="9234" width="9.28125" style="172" customWidth="1"/>
    <col min="9235" max="9236" width="8.875" style="172" customWidth="1"/>
    <col min="9237" max="9237" width="9.28125" style="172" customWidth="1"/>
    <col min="9238" max="9468" width="8.875" style="172"/>
    <col min="9469" max="9469" width="2.28515625" style="172" customWidth="1"/>
    <col min="9470" max="9473" width="8.875" style="172" customWidth="1"/>
    <col min="9474" max="9475" width="9.28125" style="172" customWidth="1"/>
    <col min="9476" max="9477" width="8.875" style="172" customWidth="1"/>
    <col min="9478" max="9478" width="8.47265625" style="172" customWidth="1"/>
    <col min="9479" max="9479" width="8.875" style="172" customWidth="1"/>
    <col min="9480" max="9480" width="9.68359375" style="172" customWidth="1"/>
    <col min="9481" max="9481" width="9.14453125" style="172" customWidth="1"/>
    <col min="9482" max="9482" width="9.55078125" style="172" customWidth="1"/>
    <col min="9483" max="9488" width="8.875" style="172" customWidth="1"/>
    <col min="9489" max="9489" width="9.4140625" style="172" customWidth="1"/>
    <col min="9490" max="9490" width="9.28125" style="172" customWidth="1"/>
    <col min="9491" max="9492" width="8.875" style="172" customWidth="1"/>
    <col min="9493" max="9493" width="9.28125" style="172" customWidth="1"/>
    <col min="9494" max="9724" width="8.875" style="172"/>
    <col min="9725" max="9725" width="2.28515625" style="172" customWidth="1"/>
    <col min="9726" max="9729" width="8.875" style="172" customWidth="1"/>
    <col min="9730" max="9731" width="9.28125" style="172" customWidth="1"/>
    <col min="9732" max="9733" width="8.875" style="172" customWidth="1"/>
    <col min="9734" max="9734" width="8.47265625" style="172" customWidth="1"/>
    <col min="9735" max="9735" width="8.875" style="172" customWidth="1"/>
    <col min="9736" max="9736" width="9.68359375" style="172" customWidth="1"/>
    <col min="9737" max="9737" width="9.14453125" style="172" customWidth="1"/>
    <col min="9738" max="9738" width="9.55078125" style="172" customWidth="1"/>
    <col min="9739" max="9744" width="8.875" style="172" customWidth="1"/>
    <col min="9745" max="9745" width="9.4140625" style="172" customWidth="1"/>
    <col min="9746" max="9746" width="9.28125" style="172" customWidth="1"/>
    <col min="9747" max="9748" width="8.875" style="172" customWidth="1"/>
    <col min="9749" max="9749" width="9.28125" style="172" customWidth="1"/>
    <col min="9750" max="9980" width="8.875" style="172"/>
    <col min="9981" max="9981" width="2.28515625" style="172" customWidth="1"/>
    <col min="9982" max="9985" width="8.875" style="172" customWidth="1"/>
    <col min="9986" max="9987" width="9.28125" style="172" customWidth="1"/>
    <col min="9988" max="9989" width="8.875" style="172" customWidth="1"/>
    <col min="9990" max="9990" width="8.47265625" style="172" customWidth="1"/>
    <col min="9991" max="9991" width="8.875" style="172" customWidth="1"/>
    <col min="9992" max="9992" width="9.68359375" style="172" customWidth="1"/>
    <col min="9993" max="9993" width="9.14453125" style="172" customWidth="1"/>
    <col min="9994" max="9994" width="9.55078125" style="172" customWidth="1"/>
    <col min="9995" max="10000" width="8.875" style="172" customWidth="1"/>
    <col min="10001" max="10001" width="9.4140625" style="172" customWidth="1"/>
    <col min="10002" max="10002" width="9.28125" style="172" customWidth="1"/>
    <col min="10003" max="10004" width="8.875" style="172" customWidth="1"/>
    <col min="10005" max="10005" width="9.28125" style="172" customWidth="1"/>
    <col min="10006" max="10236" width="8.875" style="172"/>
    <col min="10237" max="10237" width="2.28515625" style="172" customWidth="1"/>
    <col min="10238" max="10241" width="8.875" style="172" customWidth="1"/>
    <col min="10242" max="10243" width="9.28125" style="172" customWidth="1"/>
    <col min="10244" max="10245" width="8.875" style="172" customWidth="1"/>
    <col min="10246" max="10246" width="8.47265625" style="172" customWidth="1"/>
    <col min="10247" max="10247" width="8.875" style="172" customWidth="1"/>
    <col min="10248" max="10248" width="9.68359375" style="172" customWidth="1"/>
    <col min="10249" max="10249" width="9.14453125" style="172" customWidth="1"/>
    <col min="10250" max="10250" width="9.55078125" style="172" customWidth="1"/>
    <col min="10251" max="10256" width="8.875" style="172" customWidth="1"/>
    <col min="10257" max="10257" width="9.4140625" style="172" customWidth="1"/>
    <col min="10258" max="10258" width="9.28125" style="172" customWidth="1"/>
    <col min="10259" max="10260" width="8.875" style="172" customWidth="1"/>
    <col min="10261" max="10261" width="9.28125" style="172" customWidth="1"/>
    <col min="10262" max="10492" width="8.875" style="172"/>
    <col min="10493" max="10493" width="2.28515625" style="172" customWidth="1"/>
    <col min="10494" max="10497" width="8.875" style="172" customWidth="1"/>
    <col min="10498" max="10499" width="9.28125" style="172" customWidth="1"/>
    <col min="10500" max="10501" width="8.875" style="172" customWidth="1"/>
    <col min="10502" max="10502" width="8.47265625" style="172" customWidth="1"/>
    <col min="10503" max="10503" width="8.875" style="172" customWidth="1"/>
    <col min="10504" max="10504" width="9.68359375" style="172" customWidth="1"/>
    <col min="10505" max="10505" width="9.14453125" style="172" customWidth="1"/>
    <col min="10506" max="10506" width="9.55078125" style="172" customWidth="1"/>
    <col min="10507" max="10512" width="8.875" style="172" customWidth="1"/>
    <col min="10513" max="10513" width="9.4140625" style="172" customWidth="1"/>
    <col min="10514" max="10514" width="9.28125" style="172" customWidth="1"/>
    <col min="10515" max="10516" width="8.875" style="172" customWidth="1"/>
    <col min="10517" max="10517" width="9.28125" style="172" customWidth="1"/>
    <col min="10518" max="10748" width="8.875" style="172"/>
    <col min="10749" max="10749" width="2.28515625" style="172" customWidth="1"/>
    <col min="10750" max="10753" width="8.875" style="172" customWidth="1"/>
    <col min="10754" max="10755" width="9.28125" style="172" customWidth="1"/>
    <col min="10756" max="10757" width="8.875" style="172" customWidth="1"/>
    <col min="10758" max="10758" width="8.47265625" style="172" customWidth="1"/>
    <col min="10759" max="10759" width="8.875" style="172" customWidth="1"/>
    <col min="10760" max="10760" width="9.68359375" style="172" customWidth="1"/>
    <col min="10761" max="10761" width="9.14453125" style="172" customWidth="1"/>
    <col min="10762" max="10762" width="9.55078125" style="172" customWidth="1"/>
    <col min="10763" max="10768" width="8.875" style="172" customWidth="1"/>
    <col min="10769" max="10769" width="9.4140625" style="172" customWidth="1"/>
    <col min="10770" max="10770" width="9.28125" style="172" customWidth="1"/>
    <col min="10771" max="10772" width="8.875" style="172" customWidth="1"/>
    <col min="10773" max="10773" width="9.28125" style="172" customWidth="1"/>
    <col min="10774" max="11004" width="8.875" style="172"/>
    <col min="11005" max="11005" width="2.28515625" style="172" customWidth="1"/>
    <col min="11006" max="11009" width="8.875" style="172" customWidth="1"/>
    <col min="11010" max="11011" width="9.28125" style="172" customWidth="1"/>
    <col min="11012" max="11013" width="8.875" style="172" customWidth="1"/>
    <col min="11014" max="11014" width="8.47265625" style="172" customWidth="1"/>
    <col min="11015" max="11015" width="8.875" style="172" customWidth="1"/>
    <col min="11016" max="11016" width="9.68359375" style="172" customWidth="1"/>
    <col min="11017" max="11017" width="9.14453125" style="172" customWidth="1"/>
    <col min="11018" max="11018" width="9.55078125" style="172" customWidth="1"/>
    <col min="11019" max="11024" width="8.875" style="172" customWidth="1"/>
    <col min="11025" max="11025" width="9.4140625" style="172" customWidth="1"/>
    <col min="11026" max="11026" width="9.28125" style="172" customWidth="1"/>
    <col min="11027" max="11028" width="8.875" style="172" customWidth="1"/>
    <col min="11029" max="11029" width="9.28125" style="172" customWidth="1"/>
    <col min="11030" max="11260" width="8.875" style="172"/>
    <col min="11261" max="11261" width="2.28515625" style="172" customWidth="1"/>
    <col min="11262" max="11265" width="8.875" style="172" customWidth="1"/>
    <col min="11266" max="11267" width="9.28125" style="172" customWidth="1"/>
    <col min="11268" max="11269" width="8.875" style="172" customWidth="1"/>
    <col min="11270" max="11270" width="8.47265625" style="172" customWidth="1"/>
    <col min="11271" max="11271" width="8.875" style="172" customWidth="1"/>
    <col min="11272" max="11272" width="9.68359375" style="172" customWidth="1"/>
    <col min="11273" max="11273" width="9.14453125" style="172" customWidth="1"/>
    <col min="11274" max="11274" width="9.55078125" style="172" customWidth="1"/>
    <col min="11275" max="11280" width="8.875" style="172" customWidth="1"/>
    <col min="11281" max="11281" width="9.4140625" style="172" customWidth="1"/>
    <col min="11282" max="11282" width="9.28125" style="172" customWidth="1"/>
    <col min="11283" max="11284" width="8.875" style="172" customWidth="1"/>
    <col min="11285" max="11285" width="9.28125" style="172" customWidth="1"/>
    <col min="11286" max="11516" width="8.875" style="172"/>
    <col min="11517" max="11517" width="2.28515625" style="172" customWidth="1"/>
    <col min="11518" max="11521" width="8.875" style="172" customWidth="1"/>
    <col min="11522" max="11523" width="9.28125" style="172" customWidth="1"/>
    <col min="11524" max="11525" width="8.875" style="172" customWidth="1"/>
    <col min="11526" max="11526" width="8.47265625" style="172" customWidth="1"/>
    <col min="11527" max="11527" width="8.875" style="172" customWidth="1"/>
    <col min="11528" max="11528" width="9.68359375" style="172" customWidth="1"/>
    <col min="11529" max="11529" width="9.14453125" style="172" customWidth="1"/>
    <col min="11530" max="11530" width="9.55078125" style="172" customWidth="1"/>
    <col min="11531" max="11536" width="8.875" style="172" customWidth="1"/>
    <col min="11537" max="11537" width="9.4140625" style="172" customWidth="1"/>
    <col min="11538" max="11538" width="9.28125" style="172" customWidth="1"/>
    <col min="11539" max="11540" width="8.875" style="172" customWidth="1"/>
    <col min="11541" max="11541" width="9.28125" style="172" customWidth="1"/>
    <col min="11542" max="11772" width="8.875" style="172"/>
    <col min="11773" max="11773" width="2.28515625" style="172" customWidth="1"/>
    <col min="11774" max="11777" width="8.875" style="172" customWidth="1"/>
    <col min="11778" max="11779" width="9.28125" style="172" customWidth="1"/>
    <col min="11780" max="11781" width="8.875" style="172" customWidth="1"/>
    <col min="11782" max="11782" width="8.47265625" style="172" customWidth="1"/>
    <col min="11783" max="11783" width="8.875" style="172" customWidth="1"/>
    <col min="11784" max="11784" width="9.68359375" style="172" customWidth="1"/>
    <col min="11785" max="11785" width="9.14453125" style="172" customWidth="1"/>
    <col min="11786" max="11786" width="9.55078125" style="172" customWidth="1"/>
    <col min="11787" max="11792" width="8.875" style="172" customWidth="1"/>
    <col min="11793" max="11793" width="9.4140625" style="172" customWidth="1"/>
    <col min="11794" max="11794" width="9.28125" style="172" customWidth="1"/>
    <col min="11795" max="11796" width="8.875" style="172" customWidth="1"/>
    <col min="11797" max="11797" width="9.28125" style="172" customWidth="1"/>
    <col min="11798" max="12028" width="8.875" style="172"/>
    <col min="12029" max="12029" width="2.28515625" style="172" customWidth="1"/>
    <col min="12030" max="12033" width="8.875" style="172" customWidth="1"/>
    <col min="12034" max="12035" width="9.28125" style="172" customWidth="1"/>
    <col min="12036" max="12037" width="8.875" style="172" customWidth="1"/>
    <col min="12038" max="12038" width="8.47265625" style="172" customWidth="1"/>
    <col min="12039" max="12039" width="8.875" style="172" customWidth="1"/>
    <col min="12040" max="12040" width="9.68359375" style="172" customWidth="1"/>
    <col min="12041" max="12041" width="9.14453125" style="172" customWidth="1"/>
    <col min="12042" max="12042" width="9.55078125" style="172" customWidth="1"/>
    <col min="12043" max="12048" width="8.875" style="172" customWidth="1"/>
    <col min="12049" max="12049" width="9.4140625" style="172" customWidth="1"/>
    <col min="12050" max="12050" width="9.28125" style="172" customWidth="1"/>
    <col min="12051" max="12052" width="8.875" style="172" customWidth="1"/>
    <col min="12053" max="12053" width="9.28125" style="172" customWidth="1"/>
    <col min="12054" max="12284" width="8.875" style="172"/>
    <col min="12285" max="12285" width="2.28515625" style="172" customWidth="1"/>
    <col min="12286" max="12289" width="8.875" style="172" customWidth="1"/>
    <col min="12290" max="12291" width="9.28125" style="172" customWidth="1"/>
    <col min="12292" max="12293" width="8.875" style="172" customWidth="1"/>
    <col min="12294" max="12294" width="8.47265625" style="172" customWidth="1"/>
    <col min="12295" max="12295" width="8.875" style="172" customWidth="1"/>
    <col min="12296" max="12296" width="9.68359375" style="172" customWidth="1"/>
    <col min="12297" max="12297" width="9.14453125" style="172" customWidth="1"/>
    <col min="12298" max="12298" width="9.55078125" style="172" customWidth="1"/>
    <col min="12299" max="12304" width="8.875" style="172" customWidth="1"/>
    <col min="12305" max="12305" width="9.4140625" style="172" customWidth="1"/>
    <col min="12306" max="12306" width="9.28125" style="172" customWidth="1"/>
    <col min="12307" max="12308" width="8.875" style="172" customWidth="1"/>
    <col min="12309" max="12309" width="9.28125" style="172" customWidth="1"/>
    <col min="12310" max="12540" width="8.875" style="172"/>
    <col min="12541" max="12541" width="2.28515625" style="172" customWidth="1"/>
    <col min="12542" max="12545" width="8.875" style="172" customWidth="1"/>
    <col min="12546" max="12547" width="9.28125" style="172" customWidth="1"/>
    <col min="12548" max="12549" width="8.875" style="172" customWidth="1"/>
    <col min="12550" max="12550" width="8.47265625" style="172" customWidth="1"/>
    <col min="12551" max="12551" width="8.875" style="172" customWidth="1"/>
    <col min="12552" max="12552" width="9.68359375" style="172" customWidth="1"/>
    <col min="12553" max="12553" width="9.14453125" style="172" customWidth="1"/>
    <col min="12554" max="12554" width="9.55078125" style="172" customWidth="1"/>
    <col min="12555" max="12560" width="8.875" style="172" customWidth="1"/>
    <col min="12561" max="12561" width="9.4140625" style="172" customWidth="1"/>
    <col min="12562" max="12562" width="9.28125" style="172" customWidth="1"/>
    <col min="12563" max="12564" width="8.875" style="172" customWidth="1"/>
    <col min="12565" max="12565" width="9.28125" style="172" customWidth="1"/>
    <col min="12566" max="12796" width="8.875" style="172"/>
    <col min="12797" max="12797" width="2.28515625" style="172" customWidth="1"/>
    <col min="12798" max="12801" width="8.875" style="172" customWidth="1"/>
    <col min="12802" max="12803" width="9.28125" style="172" customWidth="1"/>
    <col min="12804" max="12805" width="8.875" style="172" customWidth="1"/>
    <col min="12806" max="12806" width="8.47265625" style="172" customWidth="1"/>
    <col min="12807" max="12807" width="8.875" style="172" customWidth="1"/>
    <col min="12808" max="12808" width="9.68359375" style="172" customWidth="1"/>
    <col min="12809" max="12809" width="9.14453125" style="172" customWidth="1"/>
    <col min="12810" max="12810" width="9.55078125" style="172" customWidth="1"/>
    <col min="12811" max="12816" width="8.875" style="172" customWidth="1"/>
    <col min="12817" max="12817" width="9.4140625" style="172" customWidth="1"/>
    <col min="12818" max="12818" width="9.28125" style="172" customWidth="1"/>
    <col min="12819" max="12820" width="8.875" style="172" customWidth="1"/>
    <col min="12821" max="12821" width="9.28125" style="172" customWidth="1"/>
    <col min="12822" max="13052" width="8.875" style="172"/>
    <col min="13053" max="13053" width="2.28515625" style="172" customWidth="1"/>
    <col min="13054" max="13057" width="8.875" style="172" customWidth="1"/>
    <col min="13058" max="13059" width="9.28125" style="172" customWidth="1"/>
    <col min="13060" max="13061" width="8.875" style="172" customWidth="1"/>
    <col min="13062" max="13062" width="8.47265625" style="172" customWidth="1"/>
    <col min="13063" max="13063" width="8.875" style="172" customWidth="1"/>
    <col min="13064" max="13064" width="9.68359375" style="172" customWidth="1"/>
    <col min="13065" max="13065" width="9.14453125" style="172" customWidth="1"/>
    <col min="13066" max="13066" width="9.55078125" style="172" customWidth="1"/>
    <col min="13067" max="13072" width="8.875" style="172" customWidth="1"/>
    <col min="13073" max="13073" width="9.4140625" style="172" customWidth="1"/>
    <col min="13074" max="13074" width="9.28125" style="172" customWidth="1"/>
    <col min="13075" max="13076" width="8.875" style="172" customWidth="1"/>
    <col min="13077" max="13077" width="9.28125" style="172" customWidth="1"/>
    <col min="13078" max="13308" width="8.875" style="172"/>
    <col min="13309" max="13309" width="2.28515625" style="172" customWidth="1"/>
    <col min="13310" max="13313" width="8.875" style="172" customWidth="1"/>
    <col min="13314" max="13315" width="9.28125" style="172" customWidth="1"/>
    <col min="13316" max="13317" width="8.875" style="172" customWidth="1"/>
    <col min="13318" max="13318" width="8.47265625" style="172" customWidth="1"/>
    <col min="13319" max="13319" width="8.875" style="172" customWidth="1"/>
    <col min="13320" max="13320" width="9.68359375" style="172" customWidth="1"/>
    <col min="13321" max="13321" width="9.14453125" style="172" customWidth="1"/>
    <col min="13322" max="13322" width="9.55078125" style="172" customWidth="1"/>
    <col min="13323" max="13328" width="8.875" style="172" customWidth="1"/>
    <col min="13329" max="13329" width="9.4140625" style="172" customWidth="1"/>
    <col min="13330" max="13330" width="9.28125" style="172" customWidth="1"/>
    <col min="13331" max="13332" width="8.875" style="172" customWidth="1"/>
    <col min="13333" max="13333" width="9.28125" style="172" customWidth="1"/>
    <col min="13334" max="13564" width="8.875" style="172"/>
    <col min="13565" max="13565" width="2.28515625" style="172" customWidth="1"/>
    <col min="13566" max="13569" width="8.875" style="172" customWidth="1"/>
    <col min="13570" max="13571" width="9.28125" style="172" customWidth="1"/>
    <col min="13572" max="13573" width="8.875" style="172" customWidth="1"/>
    <col min="13574" max="13574" width="8.47265625" style="172" customWidth="1"/>
    <col min="13575" max="13575" width="8.875" style="172" customWidth="1"/>
    <col min="13576" max="13576" width="9.68359375" style="172" customWidth="1"/>
    <col min="13577" max="13577" width="9.14453125" style="172" customWidth="1"/>
    <col min="13578" max="13578" width="9.55078125" style="172" customWidth="1"/>
    <col min="13579" max="13584" width="8.875" style="172" customWidth="1"/>
    <col min="13585" max="13585" width="9.4140625" style="172" customWidth="1"/>
    <col min="13586" max="13586" width="9.28125" style="172" customWidth="1"/>
    <col min="13587" max="13588" width="8.875" style="172" customWidth="1"/>
    <col min="13589" max="13589" width="9.28125" style="172" customWidth="1"/>
    <col min="13590" max="13820" width="8.875" style="172"/>
    <col min="13821" max="13821" width="2.28515625" style="172" customWidth="1"/>
    <col min="13822" max="13825" width="8.875" style="172" customWidth="1"/>
    <col min="13826" max="13827" width="9.28125" style="172" customWidth="1"/>
    <col min="13828" max="13829" width="8.875" style="172" customWidth="1"/>
    <col min="13830" max="13830" width="8.47265625" style="172" customWidth="1"/>
    <col min="13831" max="13831" width="8.875" style="172" customWidth="1"/>
    <col min="13832" max="13832" width="9.68359375" style="172" customWidth="1"/>
    <col min="13833" max="13833" width="9.14453125" style="172" customWidth="1"/>
    <col min="13834" max="13834" width="9.55078125" style="172" customWidth="1"/>
    <col min="13835" max="13840" width="8.875" style="172" customWidth="1"/>
    <col min="13841" max="13841" width="9.4140625" style="172" customWidth="1"/>
    <col min="13842" max="13842" width="9.28125" style="172" customWidth="1"/>
    <col min="13843" max="13844" width="8.875" style="172" customWidth="1"/>
    <col min="13845" max="13845" width="9.28125" style="172" customWidth="1"/>
    <col min="13846" max="14076" width="8.875" style="172"/>
    <col min="14077" max="14077" width="2.28515625" style="172" customWidth="1"/>
    <col min="14078" max="14081" width="8.875" style="172" customWidth="1"/>
    <col min="14082" max="14083" width="9.28125" style="172" customWidth="1"/>
    <col min="14084" max="14085" width="8.875" style="172" customWidth="1"/>
    <col min="14086" max="14086" width="8.47265625" style="172" customWidth="1"/>
    <col min="14087" max="14087" width="8.875" style="172" customWidth="1"/>
    <col min="14088" max="14088" width="9.68359375" style="172" customWidth="1"/>
    <col min="14089" max="14089" width="9.14453125" style="172" customWidth="1"/>
    <col min="14090" max="14090" width="9.55078125" style="172" customWidth="1"/>
    <col min="14091" max="14096" width="8.875" style="172" customWidth="1"/>
    <col min="14097" max="14097" width="9.4140625" style="172" customWidth="1"/>
    <col min="14098" max="14098" width="9.28125" style="172" customWidth="1"/>
    <col min="14099" max="14100" width="8.875" style="172" customWidth="1"/>
    <col min="14101" max="14101" width="9.28125" style="172" customWidth="1"/>
    <col min="14102" max="14332" width="8.875" style="172"/>
    <col min="14333" max="14333" width="2.28515625" style="172" customWidth="1"/>
    <col min="14334" max="14337" width="8.875" style="172" customWidth="1"/>
    <col min="14338" max="14339" width="9.28125" style="172" customWidth="1"/>
    <col min="14340" max="14341" width="8.875" style="172" customWidth="1"/>
    <col min="14342" max="14342" width="8.47265625" style="172" customWidth="1"/>
    <col min="14343" max="14343" width="8.875" style="172" customWidth="1"/>
    <col min="14344" max="14344" width="9.68359375" style="172" customWidth="1"/>
    <col min="14345" max="14345" width="9.14453125" style="172" customWidth="1"/>
    <col min="14346" max="14346" width="9.55078125" style="172" customWidth="1"/>
    <col min="14347" max="14352" width="8.875" style="172" customWidth="1"/>
    <col min="14353" max="14353" width="9.4140625" style="172" customWidth="1"/>
    <col min="14354" max="14354" width="9.28125" style="172" customWidth="1"/>
    <col min="14355" max="14356" width="8.875" style="172" customWidth="1"/>
    <col min="14357" max="14357" width="9.28125" style="172" customWidth="1"/>
    <col min="14358" max="14588" width="8.875" style="172"/>
    <col min="14589" max="14589" width="2.28515625" style="172" customWidth="1"/>
    <col min="14590" max="14593" width="8.875" style="172" customWidth="1"/>
    <col min="14594" max="14595" width="9.28125" style="172" customWidth="1"/>
    <col min="14596" max="14597" width="8.875" style="172" customWidth="1"/>
    <col min="14598" max="14598" width="8.47265625" style="172" customWidth="1"/>
    <col min="14599" max="14599" width="8.875" style="172" customWidth="1"/>
    <col min="14600" max="14600" width="9.68359375" style="172" customWidth="1"/>
    <col min="14601" max="14601" width="9.14453125" style="172" customWidth="1"/>
    <col min="14602" max="14602" width="9.55078125" style="172" customWidth="1"/>
    <col min="14603" max="14608" width="8.875" style="172" customWidth="1"/>
    <col min="14609" max="14609" width="9.4140625" style="172" customWidth="1"/>
    <col min="14610" max="14610" width="9.28125" style="172" customWidth="1"/>
    <col min="14611" max="14612" width="8.875" style="172" customWidth="1"/>
    <col min="14613" max="14613" width="9.28125" style="172" customWidth="1"/>
    <col min="14614" max="14844" width="8.875" style="172"/>
    <col min="14845" max="14845" width="2.28515625" style="172" customWidth="1"/>
    <col min="14846" max="14849" width="8.875" style="172" customWidth="1"/>
    <col min="14850" max="14851" width="9.28125" style="172" customWidth="1"/>
    <col min="14852" max="14853" width="8.875" style="172" customWidth="1"/>
    <col min="14854" max="14854" width="8.47265625" style="172" customWidth="1"/>
    <col min="14855" max="14855" width="8.875" style="172" customWidth="1"/>
    <col min="14856" max="14856" width="9.68359375" style="172" customWidth="1"/>
    <col min="14857" max="14857" width="9.14453125" style="172" customWidth="1"/>
    <col min="14858" max="14858" width="9.55078125" style="172" customWidth="1"/>
    <col min="14859" max="14864" width="8.875" style="172" customWidth="1"/>
    <col min="14865" max="14865" width="9.4140625" style="172" customWidth="1"/>
    <col min="14866" max="14866" width="9.28125" style="172" customWidth="1"/>
    <col min="14867" max="14868" width="8.875" style="172" customWidth="1"/>
    <col min="14869" max="14869" width="9.28125" style="172" customWidth="1"/>
    <col min="14870" max="15100" width="8.875" style="172"/>
    <col min="15101" max="15101" width="2.28515625" style="172" customWidth="1"/>
    <col min="15102" max="15105" width="8.875" style="172" customWidth="1"/>
    <col min="15106" max="15107" width="9.28125" style="172" customWidth="1"/>
    <col min="15108" max="15109" width="8.875" style="172" customWidth="1"/>
    <col min="15110" max="15110" width="8.47265625" style="172" customWidth="1"/>
    <col min="15111" max="15111" width="8.875" style="172" customWidth="1"/>
    <col min="15112" max="15112" width="9.68359375" style="172" customWidth="1"/>
    <col min="15113" max="15113" width="9.14453125" style="172" customWidth="1"/>
    <col min="15114" max="15114" width="9.55078125" style="172" customWidth="1"/>
    <col min="15115" max="15120" width="8.875" style="172" customWidth="1"/>
    <col min="15121" max="15121" width="9.4140625" style="172" customWidth="1"/>
    <col min="15122" max="15122" width="9.28125" style="172" customWidth="1"/>
    <col min="15123" max="15124" width="8.875" style="172" customWidth="1"/>
    <col min="15125" max="15125" width="9.28125" style="172" customWidth="1"/>
    <col min="15126" max="15356" width="8.875" style="172"/>
    <col min="15357" max="15357" width="2.28515625" style="172" customWidth="1"/>
    <col min="15358" max="15361" width="8.875" style="172" customWidth="1"/>
    <col min="15362" max="15363" width="9.28125" style="172" customWidth="1"/>
    <col min="15364" max="15365" width="8.875" style="172" customWidth="1"/>
    <col min="15366" max="15366" width="8.47265625" style="172" customWidth="1"/>
    <col min="15367" max="15367" width="8.875" style="172" customWidth="1"/>
    <col min="15368" max="15368" width="9.68359375" style="172" customWidth="1"/>
    <col min="15369" max="15369" width="9.14453125" style="172" customWidth="1"/>
    <col min="15370" max="15370" width="9.55078125" style="172" customWidth="1"/>
    <col min="15371" max="15376" width="8.875" style="172" customWidth="1"/>
    <col min="15377" max="15377" width="9.4140625" style="172" customWidth="1"/>
    <col min="15378" max="15378" width="9.28125" style="172" customWidth="1"/>
    <col min="15379" max="15380" width="8.875" style="172" customWidth="1"/>
    <col min="15381" max="15381" width="9.28125" style="172" customWidth="1"/>
    <col min="15382" max="15612" width="8.875" style="172"/>
    <col min="15613" max="15613" width="2.28515625" style="172" customWidth="1"/>
    <col min="15614" max="15617" width="8.875" style="172" customWidth="1"/>
    <col min="15618" max="15619" width="9.28125" style="172" customWidth="1"/>
    <col min="15620" max="15621" width="8.875" style="172" customWidth="1"/>
    <col min="15622" max="15622" width="8.47265625" style="172" customWidth="1"/>
    <col min="15623" max="15623" width="8.875" style="172" customWidth="1"/>
    <col min="15624" max="15624" width="9.68359375" style="172" customWidth="1"/>
    <col min="15625" max="15625" width="9.14453125" style="172" customWidth="1"/>
    <col min="15626" max="15626" width="9.55078125" style="172" customWidth="1"/>
    <col min="15627" max="15632" width="8.875" style="172" customWidth="1"/>
    <col min="15633" max="15633" width="9.4140625" style="172" customWidth="1"/>
    <col min="15634" max="15634" width="9.28125" style="172" customWidth="1"/>
    <col min="15635" max="15636" width="8.875" style="172" customWidth="1"/>
    <col min="15637" max="15637" width="9.28125" style="172" customWidth="1"/>
    <col min="15638" max="15868" width="8.875" style="172"/>
    <col min="15869" max="15869" width="2.28515625" style="172" customWidth="1"/>
    <col min="15870" max="15873" width="8.875" style="172" customWidth="1"/>
    <col min="15874" max="15875" width="9.28125" style="172" customWidth="1"/>
    <col min="15876" max="15877" width="8.875" style="172" customWidth="1"/>
    <col min="15878" max="15878" width="8.47265625" style="172" customWidth="1"/>
    <col min="15879" max="15879" width="8.875" style="172" customWidth="1"/>
    <col min="15880" max="15880" width="9.68359375" style="172" customWidth="1"/>
    <col min="15881" max="15881" width="9.14453125" style="172" customWidth="1"/>
    <col min="15882" max="15882" width="9.55078125" style="172" customWidth="1"/>
    <col min="15883" max="15888" width="8.875" style="172" customWidth="1"/>
    <col min="15889" max="15889" width="9.4140625" style="172" customWidth="1"/>
    <col min="15890" max="15890" width="9.28125" style="172" customWidth="1"/>
    <col min="15891" max="15892" width="8.875" style="172" customWidth="1"/>
    <col min="15893" max="15893" width="9.28125" style="172" customWidth="1"/>
    <col min="15894" max="16124" width="8.875" style="172"/>
    <col min="16125" max="16125" width="2.28515625" style="172" customWidth="1"/>
    <col min="16126" max="16129" width="8.875" style="172" customWidth="1"/>
    <col min="16130" max="16131" width="9.28125" style="172" customWidth="1"/>
    <col min="16132" max="16133" width="8.875" style="172" customWidth="1"/>
    <col min="16134" max="16134" width="8.47265625" style="172" customWidth="1"/>
    <col min="16135" max="16135" width="8.875" style="172" customWidth="1"/>
    <col min="16136" max="16136" width="9.68359375" style="172" customWidth="1"/>
    <col min="16137" max="16137" width="9.14453125" style="172" customWidth="1"/>
    <col min="16138" max="16138" width="9.55078125" style="172" customWidth="1"/>
    <col min="16139" max="16144" width="8.875" style="172" customWidth="1"/>
    <col min="16145" max="16145" width="9.4140625" style="172" customWidth="1"/>
    <col min="16146" max="16146" width="9.28125" style="172" customWidth="1"/>
    <col min="16147" max="16148" width="8.875" style="172" customWidth="1"/>
    <col min="16149" max="16149" width="9.28125" style="172" customWidth="1"/>
    <col min="16150" max="16379" width="8.875" style="172"/>
    <col min="16380" max="16384" width="8.875" style="172" customWidth="1"/>
  </cols>
  <sheetData>
    <row r="1" spans="1:30" s="200" customFormat="1" ht="13.5" x14ac:dyDescent="0.15">
      <c r="A1" s="201"/>
      <c r="B1" s="202" t="s">
        <v>166</v>
      </c>
      <c r="C1" s="201"/>
      <c r="D1" s="201"/>
      <c r="E1" s="201"/>
      <c r="F1" s="201"/>
      <c r="G1" s="201"/>
      <c r="H1" s="201"/>
      <c r="I1" s="201"/>
      <c r="J1" s="201"/>
      <c r="K1" s="201"/>
      <c r="L1" s="201"/>
      <c r="M1" s="201"/>
      <c r="N1" s="201"/>
      <c r="O1" s="201"/>
      <c r="P1" s="201"/>
      <c r="Q1" s="201"/>
    </row>
    <row r="2" spans="1:30" s="155" customFormat="1" ht="13.9" customHeight="1" x14ac:dyDescent="0.2">
      <c r="A2" s="189"/>
      <c r="B2" s="59" t="s">
        <v>34</v>
      </c>
      <c r="C2" s="5"/>
      <c r="D2" s="21"/>
      <c r="E2" s="189"/>
      <c r="F2" s="189"/>
      <c r="G2" s="189"/>
      <c r="H2" s="189"/>
      <c r="I2" s="189"/>
      <c r="J2" s="189"/>
      <c r="K2" s="189"/>
      <c r="L2" s="189"/>
      <c r="M2" s="189"/>
      <c r="N2" s="189"/>
      <c r="O2" s="189"/>
      <c r="P2" s="189"/>
      <c r="Q2" s="189"/>
    </row>
    <row r="3" spans="1:30" s="15" customFormat="1" ht="13.9" customHeight="1" x14ac:dyDescent="0.2">
      <c r="A3" s="3"/>
      <c r="B3" s="22" t="s">
        <v>191</v>
      </c>
      <c r="C3" s="5"/>
      <c r="D3" s="21"/>
      <c r="E3" s="72"/>
      <c r="F3" s="5"/>
      <c r="G3" s="5"/>
      <c r="H3" s="5"/>
      <c r="I3" s="5"/>
      <c r="J3" s="5"/>
      <c r="K3" s="5"/>
      <c r="L3" s="5"/>
      <c r="M3" s="5"/>
      <c r="N3" s="5"/>
      <c r="O3" s="5"/>
      <c r="P3" s="5"/>
      <c r="Q3" s="5"/>
      <c r="R3" s="109"/>
      <c r="S3" s="109"/>
      <c r="T3" s="109"/>
      <c r="U3" s="109"/>
      <c r="V3" s="109"/>
      <c r="W3" s="110"/>
    </row>
    <row r="4" spans="1:30" s="15" customFormat="1" ht="13.9" customHeight="1" x14ac:dyDescent="0.2">
      <c r="A4" s="3"/>
      <c r="B4" s="22" t="s">
        <v>192</v>
      </c>
      <c r="C4" s="5"/>
      <c r="D4" s="21"/>
      <c r="E4" s="72"/>
      <c r="F4" s="5"/>
      <c r="G4" s="5"/>
      <c r="H4" s="5"/>
      <c r="I4" s="5"/>
      <c r="J4" s="5"/>
      <c r="K4" s="5"/>
      <c r="L4" s="5"/>
      <c r="M4" s="5"/>
      <c r="N4" s="5"/>
      <c r="O4" s="5"/>
      <c r="P4" s="5"/>
      <c r="Q4" s="5"/>
      <c r="R4" s="109"/>
      <c r="S4" s="109"/>
      <c r="T4" s="109"/>
      <c r="U4" s="109"/>
      <c r="V4" s="109"/>
      <c r="W4" s="110"/>
    </row>
    <row r="5" spans="1:30" s="155" customFormat="1" ht="13.9" customHeight="1" x14ac:dyDescent="0.15">
      <c r="A5" s="189"/>
      <c r="B5" s="189" t="s">
        <v>168</v>
      </c>
      <c r="C5" s="189"/>
      <c r="D5" s="189"/>
      <c r="E5" s="189"/>
      <c r="F5" s="189"/>
      <c r="G5" s="189"/>
      <c r="H5" s="189"/>
      <c r="I5" s="189"/>
      <c r="J5" s="189"/>
      <c r="K5" s="189"/>
      <c r="L5" s="189"/>
      <c r="M5" s="189"/>
      <c r="N5" s="189"/>
      <c r="O5" s="189"/>
      <c r="P5" s="189"/>
      <c r="Q5" s="189"/>
    </row>
    <row r="6" spans="1:30" s="155" customFormat="1" ht="13.9" customHeight="1" x14ac:dyDescent="0.15">
      <c r="A6" s="189"/>
      <c r="B6" s="189" t="s">
        <v>243</v>
      </c>
      <c r="C6" s="189"/>
      <c r="D6" s="189"/>
      <c r="E6" s="189"/>
      <c r="F6" s="189"/>
      <c r="G6" s="189"/>
      <c r="H6" s="189"/>
      <c r="I6" s="189"/>
      <c r="J6" s="189"/>
      <c r="K6" s="189"/>
      <c r="L6" s="189"/>
      <c r="M6" s="189"/>
      <c r="N6" s="189"/>
      <c r="O6" s="189"/>
      <c r="P6" s="189"/>
      <c r="Q6" s="189"/>
    </row>
    <row r="7" spans="1:30" s="155" customFormat="1" ht="13.9" customHeight="1" x14ac:dyDescent="0.15">
      <c r="A7" s="189"/>
      <c r="B7" s="189" t="s">
        <v>198</v>
      </c>
      <c r="C7" s="189"/>
      <c r="D7" s="189"/>
      <c r="E7" s="189"/>
      <c r="F7" s="189"/>
      <c r="G7" s="189"/>
      <c r="H7" s="189"/>
      <c r="I7" s="189"/>
      <c r="J7" s="189"/>
      <c r="K7" s="189"/>
      <c r="L7" s="189"/>
      <c r="M7" s="189"/>
      <c r="N7" s="189"/>
      <c r="O7" s="189"/>
      <c r="P7" s="189"/>
      <c r="Q7" s="189"/>
    </row>
    <row r="8" spans="1:30" customFormat="1" ht="13.9" customHeight="1" x14ac:dyDescent="0.2">
      <c r="A8" s="3"/>
      <c r="B8" s="56" t="s">
        <v>199</v>
      </c>
      <c r="C8" s="5"/>
      <c r="D8" s="21"/>
      <c r="E8" s="5"/>
      <c r="F8" s="5"/>
      <c r="G8" s="5"/>
      <c r="H8" s="5"/>
      <c r="I8" s="5"/>
      <c r="J8" s="5"/>
      <c r="K8" s="5"/>
      <c r="L8" s="5"/>
      <c r="M8" s="5"/>
      <c r="N8" s="5"/>
      <c r="O8" s="5"/>
      <c r="P8" s="5"/>
      <c r="Q8" s="5"/>
      <c r="R8" s="109"/>
      <c r="S8" s="109"/>
      <c r="T8" s="109"/>
      <c r="U8" s="109"/>
      <c r="V8" s="109"/>
      <c r="W8" s="109"/>
      <c r="X8" s="110"/>
      <c r="Y8" s="15"/>
      <c r="Z8" s="15"/>
      <c r="AA8" s="15"/>
      <c r="AB8" s="15"/>
      <c r="AC8" s="15"/>
      <c r="AD8" s="15"/>
    </row>
    <row r="9" spans="1:30" s="155" customFormat="1" ht="13.9" customHeight="1" x14ac:dyDescent="0.15">
      <c r="A9" s="189"/>
      <c r="B9" s="189" t="s">
        <v>200</v>
      </c>
      <c r="C9" s="189"/>
      <c r="D9" s="189"/>
      <c r="E9" s="189"/>
      <c r="F9" s="189"/>
      <c r="G9" s="189"/>
      <c r="H9" s="189"/>
      <c r="I9" s="189"/>
      <c r="J9" s="189"/>
      <c r="K9" s="189"/>
      <c r="L9" s="189"/>
      <c r="M9" s="189"/>
      <c r="N9" s="189"/>
      <c r="O9" s="189"/>
      <c r="P9" s="189"/>
      <c r="Q9" s="189"/>
    </row>
    <row r="10" spans="1:30" s="155" customFormat="1" ht="13.9" customHeight="1" x14ac:dyDescent="0.15">
      <c r="A10" s="189"/>
      <c r="B10" s="189" t="s">
        <v>182</v>
      </c>
      <c r="C10" s="189"/>
      <c r="D10" s="189"/>
      <c r="E10" s="189"/>
      <c r="F10" s="189"/>
      <c r="G10" s="189"/>
      <c r="H10" s="189"/>
      <c r="I10" s="189"/>
      <c r="J10" s="189"/>
      <c r="K10" s="189"/>
      <c r="L10" s="189"/>
      <c r="M10" s="189"/>
      <c r="N10" s="189"/>
      <c r="O10" s="189"/>
      <c r="P10" s="189"/>
      <c r="Q10" s="189"/>
    </row>
    <row r="11" spans="1:30" s="155" customFormat="1" ht="13.9" customHeight="1" x14ac:dyDescent="0.15">
      <c r="A11" s="189"/>
      <c r="B11" s="189" t="s">
        <v>173</v>
      </c>
      <c r="C11" s="189"/>
      <c r="D11" s="189"/>
      <c r="E11" s="189"/>
      <c r="F11" s="189"/>
      <c r="G11" s="189"/>
      <c r="H11" s="189"/>
      <c r="I11" s="189"/>
      <c r="J11" s="189"/>
      <c r="K11" s="189"/>
      <c r="L11" s="189"/>
      <c r="M11" s="189"/>
      <c r="N11" s="189"/>
      <c r="O11" s="189"/>
      <c r="P11" s="189"/>
      <c r="Q11" s="189"/>
    </row>
    <row r="12" spans="1:30" s="155" customFormat="1" ht="13.9" customHeight="1" x14ac:dyDescent="0.15">
      <c r="A12" s="189"/>
      <c r="B12" s="189" t="s">
        <v>239</v>
      </c>
      <c r="C12" s="189"/>
      <c r="D12" s="189"/>
      <c r="E12" s="189"/>
      <c r="F12" s="189"/>
      <c r="G12" s="189"/>
      <c r="H12" s="189"/>
      <c r="I12" s="189"/>
      <c r="J12" s="189"/>
      <c r="K12" s="189"/>
      <c r="L12" s="189"/>
      <c r="M12" s="189"/>
      <c r="N12" s="189"/>
      <c r="O12" s="189"/>
      <c r="P12" s="189"/>
      <c r="Q12" s="189"/>
    </row>
    <row r="13" spans="1:30" s="155" customFormat="1" ht="13.9" customHeight="1" x14ac:dyDescent="0.15">
      <c r="A13" s="189"/>
      <c r="B13" s="189" t="s">
        <v>174</v>
      </c>
      <c r="C13" s="189"/>
      <c r="D13" s="189"/>
      <c r="E13" s="189"/>
      <c r="F13" s="189"/>
      <c r="G13" s="189"/>
      <c r="H13" s="189"/>
      <c r="I13" s="189"/>
      <c r="J13" s="189"/>
      <c r="K13" s="189"/>
      <c r="L13" s="189"/>
      <c r="M13" s="189"/>
      <c r="N13" s="189"/>
      <c r="O13" s="189"/>
      <c r="P13" s="189"/>
      <c r="Q13" s="189"/>
    </row>
    <row r="14" spans="1:30" s="155" customFormat="1" ht="13.9" customHeight="1" x14ac:dyDescent="0.15">
      <c r="A14" s="189"/>
      <c r="B14" s="189" t="s">
        <v>175</v>
      </c>
      <c r="C14" s="189"/>
      <c r="D14" s="189"/>
      <c r="E14" s="189"/>
      <c r="F14" s="189"/>
      <c r="G14" s="189"/>
      <c r="H14" s="189"/>
      <c r="I14" s="189"/>
      <c r="J14" s="189"/>
      <c r="K14" s="189"/>
      <c r="L14" s="189"/>
      <c r="M14" s="189"/>
      <c r="N14" s="189"/>
      <c r="O14" s="189"/>
      <c r="P14" s="189"/>
      <c r="Q14" s="189"/>
    </row>
    <row r="15" spans="1:30" s="155" customFormat="1" ht="13.9" customHeight="1" x14ac:dyDescent="0.15">
      <c r="A15" s="189"/>
      <c r="B15" s="189" t="s">
        <v>176</v>
      </c>
      <c r="C15" s="189"/>
      <c r="D15" s="189"/>
      <c r="E15" s="189"/>
      <c r="F15" s="189"/>
      <c r="G15" s="189"/>
      <c r="H15" s="189"/>
      <c r="I15" s="189"/>
      <c r="J15" s="189"/>
      <c r="K15" s="189"/>
      <c r="L15" s="189"/>
      <c r="M15" s="189"/>
      <c r="N15" s="189"/>
      <c r="O15" s="189"/>
      <c r="P15" s="189"/>
      <c r="Q15" s="189"/>
    </row>
    <row r="16" spans="1:30" s="155" customFormat="1" ht="13.9" customHeight="1" x14ac:dyDescent="0.15">
      <c r="A16" s="189"/>
      <c r="B16" s="189" t="s">
        <v>172</v>
      </c>
      <c r="C16" s="189"/>
      <c r="D16" s="189"/>
      <c r="E16" s="189"/>
      <c r="F16" s="189"/>
      <c r="G16" s="189"/>
      <c r="H16" s="189"/>
      <c r="I16" s="189"/>
      <c r="J16" s="189"/>
      <c r="K16" s="189"/>
      <c r="L16" s="189"/>
      <c r="M16" s="189"/>
      <c r="N16" s="189"/>
      <c r="O16" s="189"/>
      <c r="P16" s="189"/>
      <c r="Q16" s="189"/>
    </row>
    <row r="17" spans="1:17" s="155" customFormat="1" ht="13.9" customHeight="1" x14ac:dyDescent="0.15">
      <c r="A17" s="189"/>
      <c r="B17" s="189" t="s">
        <v>183</v>
      </c>
      <c r="C17" s="189"/>
      <c r="D17" s="189"/>
      <c r="E17" s="189"/>
      <c r="F17" s="189"/>
      <c r="G17" s="189"/>
      <c r="H17" s="189"/>
      <c r="I17" s="189"/>
      <c r="J17" s="189"/>
      <c r="K17" s="189"/>
      <c r="L17" s="189"/>
      <c r="M17" s="189"/>
      <c r="N17" s="189"/>
      <c r="O17" s="189"/>
      <c r="P17" s="189"/>
      <c r="Q17" s="189"/>
    </row>
    <row r="18" spans="1:17" s="155" customFormat="1" ht="13.9" customHeight="1" x14ac:dyDescent="0.15">
      <c r="A18" s="189"/>
      <c r="B18" s="189" t="s">
        <v>240</v>
      </c>
      <c r="C18" s="189"/>
      <c r="D18" s="189"/>
      <c r="E18" s="189"/>
      <c r="F18" s="189"/>
      <c r="G18" s="189"/>
      <c r="H18" s="189"/>
      <c r="I18" s="189"/>
      <c r="J18" s="189"/>
      <c r="K18" s="189"/>
      <c r="L18" s="189"/>
      <c r="M18" s="189"/>
      <c r="N18" s="189"/>
      <c r="O18" s="189"/>
      <c r="P18" s="189"/>
      <c r="Q18" s="189"/>
    </row>
    <row r="19" spans="1:17" s="155" customFormat="1" ht="13.9" customHeight="1" x14ac:dyDescent="0.15">
      <c r="A19" s="189"/>
      <c r="B19" s="189" t="s">
        <v>242</v>
      </c>
      <c r="C19" s="189"/>
      <c r="D19" s="189"/>
      <c r="E19" s="189"/>
      <c r="F19" s="189"/>
      <c r="G19" s="189"/>
      <c r="H19" s="189"/>
      <c r="I19" s="189"/>
      <c r="J19" s="189"/>
      <c r="K19" s="189"/>
      <c r="L19" s="189"/>
      <c r="M19" s="189"/>
      <c r="N19" s="189"/>
      <c r="O19" s="189"/>
      <c r="P19" s="189"/>
      <c r="Q19" s="189"/>
    </row>
    <row r="20" spans="1:17" s="156" customFormat="1" x14ac:dyDescent="0.15">
      <c r="A20" s="190"/>
      <c r="B20" s="203"/>
      <c r="C20" s="190"/>
      <c r="D20" s="190"/>
      <c r="E20" s="190"/>
      <c r="F20" s="190"/>
      <c r="G20" s="190"/>
      <c r="H20" s="190"/>
      <c r="I20" s="190"/>
      <c r="J20" s="190"/>
      <c r="K20" s="190"/>
      <c r="L20" s="190"/>
      <c r="M20" s="190"/>
      <c r="N20" s="190"/>
      <c r="O20" s="190"/>
      <c r="P20" s="190"/>
      <c r="Q20" s="190"/>
    </row>
    <row r="21" spans="1:17" s="156" customFormat="1" ht="15" x14ac:dyDescent="0.2">
      <c r="A21" s="190"/>
      <c r="B21" s="210" t="s">
        <v>127</v>
      </c>
      <c r="C21" s="157"/>
      <c r="D21" s="158"/>
      <c r="E21" s="159"/>
      <c r="F21" s="157"/>
      <c r="G21" s="159"/>
      <c r="H21" s="160"/>
      <c r="I21" s="160"/>
      <c r="J21" s="160"/>
      <c r="K21" s="160"/>
      <c r="L21" s="160"/>
      <c r="M21" s="232"/>
      <c r="N21" s="190"/>
      <c r="O21" s="190"/>
      <c r="P21" s="190"/>
      <c r="Q21" s="190"/>
    </row>
    <row r="22" spans="1:17" s="156" customFormat="1" ht="15" x14ac:dyDescent="0.2">
      <c r="A22" s="190"/>
      <c r="B22" s="161"/>
      <c r="C22" s="162"/>
      <c r="D22" s="245" t="s">
        <v>70</v>
      </c>
      <c r="E22" s="163">
        <v>90</v>
      </c>
      <c r="F22" s="118" t="s">
        <v>225</v>
      </c>
      <c r="G22" s="162"/>
      <c r="H22" s="164"/>
      <c r="I22" s="164"/>
      <c r="J22" s="164"/>
      <c r="K22" s="164"/>
      <c r="L22" s="164"/>
      <c r="M22" s="233"/>
      <c r="N22" s="190"/>
      <c r="O22" s="190"/>
      <c r="P22" s="190"/>
      <c r="Q22" s="190"/>
    </row>
    <row r="23" spans="1:17" s="156" customFormat="1" ht="15" x14ac:dyDescent="0.2">
      <c r="A23" s="190"/>
      <c r="B23" s="161"/>
      <c r="C23" s="162"/>
      <c r="D23" s="245" t="s">
        <v>114</v>
      </c>
      <c r="E23" s="165" t="str">
        <f>E24&amp;"-"&amp;E22</f>
        <v>10-90</v>
      </c>
      <c r="F23" s="118" t="s">
        <v>236</v>
      </c>
      <c r="G23" s="166"/>
      <c r="H23" s="164"/>
      <c r="I23" s="164"/>
      <c r="J23" s="164"/>
      <c r="K23" s="164"/>
      <c r="L23" s="164"/>
      <c r="M23" s="233"/>
      <c r="N23" s="190"/>
      <c r="O23" s="190"/>
      <c r="P23" s="190"/>
      <c r="Q23" s="190"/>
    </row>
    <row r="24" spans="1:17" s="156" customFormat="1" ht="15" x14ac:dyDescent="0.2">
      <c r="A24" s="190"/>
      <c r="B24" s="161"/>
      <c r="C24" s="162"/>
      <c r="D24" s="245" t="s">
        <v>69</v>
      </c>
      <c r="E24" s="165">
        <f>100-E22</f>
        <v>10</v>
      </c>
      <c r="F24" s="118" t="s">
        <v>128</v>
      </c>
      <c r="G24" s="166"/>
      <c r="H24" s="164"/>
      <c r="I24" s="164"/>
      <c r="J24" s="164"/>
      <c r="K24" s="164"/>
      <c r="L24" s="164"/>
      <c r="M24" s="233"/>
      <c r="N24" s="190"/>
      <c r="O24" s="190"/>
      <c r="P24" s="190"/>
      <c r="Q24" s="190"/>
    </row>
    <row r="25" spans="1:17" s="155" customFormat="1" ht="15" x14ac:dyDescent="0.2">
      <c r="A25" s="189"/>
      <c r="B25" s="244" t="s">
        <v>229</v>
      </c>
      <c r="C25" s="162"/>
      <c r="D25" s="207"/>
      <c r="E25" s="162"/>
      <c r="F25" s="162"/>
      <c r="G25" s="166"/>
      <c r="H25" s="167"/>
      <c r="I25" s="167"/>
      <c r="J25" s="167"/>
      <c r="K25" s="167"/>
      <c r="L25" s="167"/>
      <c r="M25" s="234"/>
      <c r="N25" s="189"/>
      <c r="O25" s="189"/>
      <c r="P25" s="189"/>
      <c r="Q25" s="189"/>
    </row>
    <row r="26" spans="1:17" s="155" customFormat="1" ht="15" x14ac:dyDescent="0.2">
      <c r="A26" s="189"/>
      <c r="B26" s="161"/>
      <c r="C26" s="162"/>
      <c r="D26" s="206" t="s">
        <v>167</v>
      </c>
      <c r="E26" s="165">
        <f>100-E24*2</f>
        <v>80</v>
      </c>
      <c r="F26" s="207" t="s">
        <v>184</v>
      </c>
      <c r="G26" s="166"/>
      <c r="H26" s="167"/>
      <c r="I26" s="167"/>
      <c r="J26" s="167"/>
      <c r="K26" s="167"/>
      <c r="L26" s="167"/>
      <c r="M26" s="234"/>
      <c r="N26" s="189"/>
      <c r="O26" s="189"/>
      <c r="P26" s="189"/>
      <c r="Q26" s="189"/>
    </row>
    <row r="27" spans="1:17" s="155" customFormat="1" ht="13.9" customHeight="1" x14ac:dyDescent="0.2">
      <c r="A27" s="189"/>
      <c r="B27" s="168"/>
      <c r="C27" s="169"/>
      <c r="D27" s="208" t="s">
        <v>226</v>
      </c>
      <c r="E27" s="150">
        <f>_xlfn.T.INV(E22/100,999)*SQRT(2)</f>
        <v>1.8135868643283659</v>
      </c>
      <c r="F27" s="209" t="s">
        <v>227</v>
      </c>
      <c r="G27" s="170"/>
      <c r="H27" s="171"/>
      <c r="I27" s="171"/>
      <c r="J27" s="171"/>
      <c r="K27" s="171"/>
      <c r="L27" s="171"/>
      <c r="M27" s="235"/>
      <c r="N27" s="189"/>
      <c r="O27" s="189"/>
      <c r="P27" s="189"/>
      <c r="Q27" s="189"/>
    </row>
    <row r="28" spans="1:17" ht="12.75" customHeight="1" thickBot="1" x14ac:dyDescent="0.2">
      <c r="A28" s="191"/>
      <c r="B28" s="189"/>
      <c r="C28" s="162"/>
      <c r="D28" s="162"/>
      <c r="E28" s="162"/>
      <c r="F28" s="191"/>
      <c r="G28" s="191"/>
      <c r="H28" s="194"/>
      <c r="I28" s="194"/>
      <c r="J28" s="194"/>
      <c r="K28" s="191"/>
      <c r="L28" s="191"/>
      <c r="M28" s="191"/>
      <c r="N28" s="191"/>
      <c r="O28" s="191"/>
      <c r="P28" s="191"/>
      <c r="Q28" s="191"/>
    </row>
    <row r="29" spans="1:17" ht="14.25" customHeight="1" thickBot="1" x14ac:dyDescent="0.2">
      <c r="A29" s="162"/>
      <c r="B29" s="195"/>
      <c r="C29" s="195"/>
      <c r="D29" s="196"/>
      <c r="E29" s="196"/>
      <c r="F29" s="219"/>
      <c r="G29" s="197"/>
      <c r="H29" s="197"/>
      <c r="I29" s="197"/>
      <c r="J29" s="197"/>
      <c r="K29" s="204">
        <f>100-$E$24*2</f>
        <v>80</v>
      </c>
      <c r="L29" s="205" t="s">
        <v>157</v>
      </c>
      <c r="M29" s="260" t="s">
        <v>178</v>
      </c>
      <c r="N29" s="261"/>
      <c r="O29" s="262"/>
      <c r="P29" s="198"/>
      <c r="Q29" s="191"/>
    </row>
    <row r="30" spans="1:17" ht="12.75" customHeight="1" thickBot="1" x14ac:dyDescent="0.2">
      <c r="A30" s="191"/>
      <c r="B30" s="251" t="s">
        <v>170</v>
      </c>
      <c r="C30" s="252"/>
      <c r="D30" s="252"/>
      <c r="E30" s="249" t="s">
        <v>201</v>
      </c>
      <c r="F30" s="251" t="s">
        <v>169</v>
      </c>
      <c r="G30" s="253"/>
      <c r="H30" s="252" t="s">
        <v>171</v>
      </c>
      <c r="I30" s="252"/>
      <c r="J30" s="249" t="s">
        <v>177</v>
      </c>
      <c r="K30" s="254" t="s">
        <v>158</v>
      </c>
      <c r="L30" s="255"/>
      <c r="M30" s="267" t="s">
        <v>179</v>
      </c>
      <c r="N30" s="263" t="s">
        <v>180</v>
      </c>
      <c r="O30" s="265" t="s">
        <v>181</v>
      </c>
      <c r="P30" s="194"/>
      <c r="Q30" s="191"/>
    </row>
    <row r="31" spans="1:17" ht="15" customHeight="1" thickBot="1" x14ac:dyDescent="0.25">
      <c r="A31" s="191"/>
      <c r="B31" s="246" t="s">
        <v>159</v>
      </c>
      <c r="C31" s="247" t="s">
        <v>160</v>
      </c>
      <c r="D31" s="239" t="s">
        <v>161</v>
      </c>
      <c r="E31" s="250"/>
      <c r="F31" s="240" t="s">
        <v>162</v>
      </c>
      <c r="G31" s="241" t="s">
        <v>163</v>
      </c>
      <c r="H31" s="242" t="s">
        <v>162</v>
      </c>
      <c r="I31" s="243" t="s">
        <v>163</v>
      </c>
      <c r="J31" s="250"/>
      <c r="K31" s="212" t="s">
        <v>164</v>
      </c>
      <c r="L31" s="199" t="s">
        <v>165</v>
      </c>
      <c r="M31" s="268"/>
      <c r="N31" s="264"/>
      <c r="O31" s="266"/>
      <c r="P31" s="248" t="s">
        <v>8</v>
      </c>
      <c r="Q31" s="191"/>
    </row>
    <row r="32" spans="1:17" ht="15" customHeight="1" x14ac:dyDescent="0.15">
      <c r="A32" s="191"/>
      <c r="B32" s="184">
        <v>50.1</v>
      </c>
      <c r="C32" s="173">
        <v>48.3</v>
      </c>
      <c r="D32" s="213">
        <f>C32-B32</f>
        <v>-1.8000000000000043</v>
      </c>
      <c r="E32" s="179">
        <f>D32/B32*100</f>
        <v>-3.5928143712574934</v>
      </c>
      <c r="F32" s="236"/>
      <c r="G32" s="186">
        <v>2.5</v>
      </c>
      <c r="H32" s="185"/>
      <c r="I32" s="174">
        <v>3</v>
      </c>
      <c r="J32" s="188">
        <v>19</v>
      </c>
      <c r="K32" s="211">
        <f>D32-TINV(1-$K$29/100,J32)*SQRT(2*ISNUMBER(H32)*H32^2+ISNUMBER(I32)*((I32/100*B32)^2+(I32/100*C32)^2))</f>
        <v>-4.5719359301153677</v>
      </c>
      <c r="L32" s="179">
        <f>D32+TINV(1-$K$29/100,J32)*SQRT(2*ISNUMBER(H32)*H32^2+ISNUMBER(I32)*((I32/100*B32)^2+(I32/100*C32)^2))</f>
        <v>0.97193593011535873</v>
      </c>
      <c r="M32" s="180">
        <f>100*_xlfn.T.DIST((-D32-(ISNUMBER(F32)*F32+ISNUMBER(G32)*G32/100*B32))/SQRT(2*ISNUMBER(H32)*H32^2+ISNUMBER(I32)*((I32/100*B32)^2+(I32/100*C32)^2)),J32,1)</f>
        <v>60.202327602594139</v>
      </c>
      <c r="N32" s="175">
        <f>100-O32-M32</f>
        <v>31.794987563489769</v>
      </c>
      <c r="O32" s="181">
        <f>100*_xlfn.T.DIST((D32-(ISNUMBER(F32)*F32+ISNUMBER(G32)*G32/100*B32))/SQRT(2*ISNUMBER(H32)*H32^2+ISNUMBER(I32)*((I32/100*B32)^2+(I32/100*C32)^2)),J32,1)</f>
        <v>8.0026848339160939</v>
      </c>
      <c r="P32" s="256" t="str">
        <f>IF(ISNUMBER(O32),IF(AND(O32&gt;$E$24,M32&gt;$E$24),"?",(IF(O32&gt;$E$24,"­"&amp;IF(O32&gt;100-$E$24,"*",""),""))&amp;(IF(N32&gt;$E$24,"«"&amp;IF(N32&gt;100-$E$24,"*",""),""))&amp;(IF(M32&gt;$E$24,"¯"&amp;IF(M32&gt;100-$E$24,"*",""),""))),"")</f>
        <v>«¯</v>
      </c>
      <c r="Q32" s="191"/>
    </row>
    <row r="33" spans="1:17" ht="15.6" customHeight="1" thickBot="1" x14ac:dyDescent="0.2">
      <c r="A33" s="191"/>
      <c r="B33" s="192"/>
      <c r="C33" s="193"/>
      <c r="D33" s="193"/>
      <c r="E33" s="238"/>
      <c r="F33" s="237" t="str">
        <f>IF(AND(ISNUMBER(F32),ISNUMBER(G32)),"Error: raw OR %, not both!",IF(OR(F32&lt;0,G32&lt;0),"Error: must be positive",IF(AND(F32=0,G32=0),"Smallest important = 0.","")))</f>
        <v/>
      </c>
      <c r="G33" s="187"/>
      <c r="H33" s="177" t="str">
        <f>IF(AND(ISNUMBER(H32),ISNUMBER(I32)),"Error: raw OR %, not both!",IF(NOT((H32+I32)&gt;0),"Error: insert a +ive error",""))</f>
        <v/>
      </c>
      <c r="I33" s="176"/>
      <c r="J33" s="187"/>
      <c r="K33" s="258" t="s">
        <v>228</v>
      </c>
      <c r="L33" s="259"/>
      <c r="M33" s="182" t="str">
        <f>IF(M32&lt;$E$24,"very unlikely",IF(M32&lt;$E$22,"possible","very likely"))</f>
        <v>possible</v>
      </c>
      <c r="N33" s="178" t="str">
        <f>IF(N32&lt;$E$24,"very unlikely",IF(N32&lt;$E$22,"possible","very likely"))</f>
        <v>possible</v>
      </c>
      <c r="O33" s="183" t="str">
        <f>IF(O32&lt;$E$24,"very unlikely",IF(O32&lt;$E$22,"possible","very likely"))</f>
        <v>very unlikely</v>
      </c>
      <c r="P33" s="257"/>
      <c r="Q33" s="191"/>
    </row>
    <row r="34" spans="1:17" x14ac:dyDescent="0.15">
      <c r="A34" s="191"/>
      <c r="B34" s="214" t="s">
        <v>241</v>
      </c>
      <c r="C34" s="191"/>
      <c r="D34" s="191"/>
      <c r="E34" s="191"/>
      <c r="F34" s="191"/>
      <c r="G34" s="191"/>
      <c r="H34" s="191"/>
      <c r="I34" s="191"/>
      <c r="J34" s="191"/>
      <c r="K34" s="191"/>
      <c r="L34" s="191"/>
      <c r="M34" s="191"/>
      <c r="N34" s="191"/>
      <c r="O34" s="191"/>
      <c r="P34" s="191"/>
      <c r="Q34" s="191"/>
    </row>
  </sheetData>
  <mergeCells count="12">
    <mergeCell ref="P32:P33"/>
    <mergeCell ref="K33:L33"/>
    <mergeCell ref="J30:J31"/>
    <mergeCell ref="M29:O29"/>
    <mergeCell ref="N30:N31"/>
    <mergeCell ref="O30:O31"/>
    <mergeCell ref="M30:M31"/>
    <mergeCell ref="E30:E31"/>
    <mergeCell ref="B30:D30"/>
    <mergeCell ref="F30:G30"/>
    <mergeCell ref="H30:I30"/>
    <mergeCell ref="K30:L30"/>
  </mergeCells>
  <pageMargins left="0.75" right="0.75" top="1" bottom="1" header="0.5" footer="0.5"/>
  <pageSetup paperSize="9"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H38"/>
  <sheetViews>
    <sheetView topLeftCell="A8" zoomScaleNormal="100" workbookViewId="0"/>
  </sheetViews>
  <sheetFormatPr defaultRowHeight="15" x14ac:dyDescent="0.2"/>
  <cols>
    <col min="1" max="1" width="4.4375" customWidth="1"/>
    <col min="2" max="2" width="10.76171875" customWidth="1"/>
    <col min="3" max="3" width="9.28125" customWidth="1"/>
    <col min="4" max="4" width="5.24609375" customWidth="1"/>
    <col min="5" max="25" width="5.91796875" style="1" customWidth="1"/>
    <col min="26" max="26" width="3.359375" customWidth="1"/>
    <col min="28" max="28" width="5.91796875" style="2" customWidth="1"/>
    <col min="33" max="34" width="8.875" style="15"/>
  </cols>
  <sheetData>
    <row r="1" spans="1:34" x14ac:dyDescent="0.2">
      <c r="A1" s="16"/>
      <c r="B1" s="23" t="s">
        <v>36</v>
      </c>
      <c r="C1" s="16"/>
      <c r="D1" s="16"/>
      <c r="E1" s="17"/>
      <c r="F1" s="17"/>
      <c r="G1" s="17"/>
      <c r="H1" s="17"/>
      <c r="I1" s="17"/>
      <c r="J1" s="17"/>
      <c r="K1" s="17"/>
      <c r="L1" s="17"/>
      <c r="M1" s="17"/>
      <c r="N1" s="17"/>
      <c r="O1" s="17"/>
      <c r="P1" s="17"/>
      <c r="Q1" s="17"/>
      <c r="R1" s="17"/>
      <c r="S1" s="17"/>
      <c r="T1" s="17"/>
      <c r="U1" s="17"/>
      <c r="V1" s="17"/>
      <c r="W1" s="17"/>
      <c r="X1" s="17"/>
      <c r="Y1" s="17"/>
      <c r="Z1" s="16"/>
      <c r="AA1" s="16"/>
      <c r="AB1" s="18"/>
      <c r="AC1" s="16"/>
      <c r="AD1" s="16"/>
      <c r="AE1" s="16"/>
      <c r="AF1" s="16"/>
      <c r="AG1" s="16"/>
    </row>
    <row r="2" spans="1:34" x14ac:dyDescent="0.2">
      <c r="A2" s="3"/>
      <c r="B2" s="59" t="s">
        <v>34</v>
      </c>
      <c r="C2" s="5"/>
      <c r="D2" s="21"/>
      <c r="E2" s="72"/>
      <c r="F2" s="5"/>
      <c r="G2" s="5"/>
      <c r="H2" s="5"/>
      <c r="I2" s="5"/>
      <c r="J2" s="5"/>
      <c r="K2" s="5"/>
      <c r="L2" s="5"/>
      <c r="M2" s="5"/>
      <c r="N2" s="5"/>
      <c r="O2" s="5"/>
      <c r="P2" s="5"/>
      <c r="Q2" s="5"/>
      <c r="R2" s="5"/>
      <c r="S2" s="5"/>
      <c r="T2" s="5"/>
      <c r="U2" s="5"/>
      <c r="V2" s="5"/>
      <c r="W2" s="5"/>
      <c r="X2" s="5"/>
      <c r="Y2" s="5"/>
      <c r="Z2" s="5"/>
      <c r="AA2" s="5"/>
      <c r="AB2" s="6"/>
      <c r="AC2" s="3"/>
      <c r="AD2" s="3"/>
      <c r="AE2" s="3"/>
      <c r="AF2" s="3"/>
      <c r="AG2" s="3"/>
    </row>
    <row r="3" spans="1:34" x14ac:dyDescent="0.2">
      <c r="A3" s="3"/>
      <c r="B3" s="57" t="s">
        <v>190</v>
      </c>
      <c r="C3" s="5"/>
      <c r="D3" s="21"/>
      <c r="E3" s="72"/>
      <c r="F3" s="5"/>
      <c r="G3" s="5"/>
      <c r="H3" s="5"/>
      <c r="I3" s="5"/>
      <c r="J3" s="5"/>
      <c r="K3" s="5"/>
      <c r="L3" s="5"/>
      <c r="M3" s="5"/>
      <c r="N3" s="5"/>
      <c r="O3" s="5"/>
      <c r="P3" s="5"/>
      <c r="Q3" s="5"/>
      <c r="R3" s="5"/>
      <c r="S3" s="5"/>
      <c r="T3" s="5"/>
      <c r="U3" s="5"/>
      <c r="V3" s="5"/>
      <c r="W3" s="5"/>
      <c r="X3" s="5"/>
      <c r="Y3" s="5"/>
      <c r="Z3" s="5"/>
      <c r="AA3" s="5"/>
      <c r="AB3" s="6"/>
      <c r="AC3" s="3"/>
      <c r="AD3" s="3"/>
      <c r="AE3" s="3"/>
      <c r="AF3" s="3"/>
      <c r="AG3" s="3"/>
    </row>
    <row r="4" spans="1:34" x14ac:dyDescent="0.2">
      <c r="A4" s="3"/>
      <c r="B4" s="57" t="s">
        <v>194</v>
      </c>
      <c r="C4" s="5"/>
      <c r="D4" s="21"/>
      <c r="E4" s="72"/>
      <c r="F4" s="5"/>
      <c r="G4" s="5"/>
      <c r="H4" s="5"/>
      <c r="I4" s="5"/>
      <c r="J4" s="5"/>
      <c r="K4" s="5"/>
      <c r="L4" s="5"/>
      <c r="M4" s="5"/>
      <c r="N4" s="5"/>
      <c r="O4" s="5"/>
      <c r="P4" s="5"/>
      <c r="Q4" s="5"/>
      <c r="R4" s="5"/>
      <c r="S4" s="5"/>
      <c r="T4" s="5"/>
      <c r="U4" s="5"/>
      <c r="V4" s="5"/>
      <c r="W4" s="5"/>
      <c r="X4" s="5"/>
      <c r="Y4" s="5"/>
      <c r="Z4" s="5"/>
      <c r="AA4" s="5"/>
      <c r="AB4" s="6"/>
      <c r="AC4" s="3"/>
      <c r="AD4" s="3"/>
      <c r="AE4" s="3"/>
      <c r="AF4" s="3"/>
      <c r="AG4" s="3"/>
    </row>
    <row r="5" spans="1:34" x14ac:dyDescent="0.2">
      <c r="A5" s="3"/>
      <c r="B5" s="55" t="s">
        <v>140</v>
      </c>
      <c r="C5" s="5"/>
      <c r="D5" s="21"/>
      <c r="E5" s="5"/>
      <c r="F5" s="5"/>
      <c r="G5" s="5"/>
      <c r="H5" s="5"/>
      <c r="I5" s="5"/>
      <c r="J5" s="5"/>
      <c r="K5" s="5"/>
      <c r="L5" s="5"/>
      <c r="M5" s="5"/>
      <c r="N5" s="5"/>
      <c r="O5" s="5"/>
      <c r="P5" s="5"/>
      <c r="Q5" s="5"/>
      <c r="R5" s="5"/>
      <c r="S5" s="5"/>
      <c r="T5" s="5"/>
      <c r="U5" s="5"/>
      <c r="V5" s="5"/>
      <c r="W5" s="5"/>
      <c r="X5" s="3"/>
      <c r="Y5" s="3"/>
      <c r="Z5" s="6"/>
      <c r="AA5" s="3"/>
      <c r="AB5" s="3"/>
      <c r="AC5" s="3"/>
      <c r="AD5" s="3"/>
      <c r="AE5" s="3"/>
      <c r="AF5" s="3"/>
      <c r="AG5" s="3"/>
      <c r="AH5"/>
    </row>
    <row r="6" spans="1:34" ht="14.45" customHeight="1" x14ac:dyDescent="0.2">
      <c r="A6" s="3"/>
      <c r="B6" s="57" t="s">
        <v>196</v>
      </c>
      <c r="C6" s="5"/>
      <c r="D6" s="21"/>
      <c r="E6" s="72"/>
      <c r="F6" s="5"/>
      <c r="G6" s="5"/>
      <c r="H6" s="5"/>
      <c r="I6" s="5"/>
      <c r="J6" s="5"/>
      <c r="K6" s="5"/>
      <c r="L6" s="5"/>
      <c r="M6" s="5"/>
      <c r="N6" s="5"/>
      <c r="O6" s="5"/>
      <c r="P6" s="5"/>
      <c r="Q6" s="5"/>
      <c r="R6" s="5"/>
      <c r="S6" s="5"/>
      <c r="T6" s="5"/>
      <c r="U6" s="5"/>
      <c r="V6" s="5"/>
      <c r="W6" s="5"/>
      <c r="X6" s="3"/>
      <c r="Y6" s="3"/>
      <c r="Z6" s="6"/>
      <c r="AA6" s="3"/>
      <c r="AB6" s="3"/>
      <c r="AC6" s="3"/>
      <c r="AD6" s="3"/>
      <c r="AE6" s="3"/>
      <c r="AF6" s="3"/>
      <c r="AG6" s="3"/>
      <c r="AH6"/>
    </row>
    <row r="7" spans="1:34" x14ac:dyDescent="0.2">
      <c r="A7" s="3"/>
      <c r="B7" s="55" t="s">
        <v>215</v>
      </c>
      <c r="C7" s="5"/>
      <c r="D7" s="21"/>
      <c r="E7" s="5"/>
      <c r="F7" s="5"/>
      <c r="G7" s="5"/>
      <c r="H7" s="5"/>
      <c r="I7" s="5"/>
      <c r="J7" s="5"/>
      <c r="K7" s="5"/>
      <c r="L7" s="5"/>
      <c r="M7" s="5"/>
      <c r="N7" s="5"/>
      <c r="O7" s="5"/>
      <c r="P7" s="5"/>
      <c r="Q7" s="5"/>
      <c r="R7" s="5"/>
      <c r="S7" s="5"/>
      <c r="T7" s="5"/>
      <c r="U7" s="5"/>
      <c r="V7" s="5"/>
      <c r="W7" s="5"/>
      <c r="X7" s="3"/>
      <c r="Y7" s="3"/>
      <c r="Z7" s="6"/>
      <c r="AA7" s="3"/>
      <c r="AB7" s="3"/>
      <c r="AC7" s="3"/>
      <c r="AD7" s="3"/>
      <c r="AE7" s="3"/>
      <c r="AF7" s="3"/>
      <c r="AG7" s="3"/>
      <c r="AH7"/>
    </row>
    <row r="8" spans="1:34" ht="14.45" customHeight="1" x14ac:dyDescent="0.2">
      <c r="A8" s="3"/>
      <c r="B8" s="57"/>
      <c r="C8" s="5"/>
      <c r="D8" s="21"/>
      <c r="E8" s="72"/>
      <c r="F8" s="5"/>
      <c r="G8" s="5"/>
      <c r="H8" s="5"/>
      <c r="I8" s="5"/>
      <c r="J8" s="5"/>
      <c r="K8" s="5"/>
      <c r="L8" s="5"/>
      <c r="M8" s="5"/>
      <c r="N8" s="5"/>
      <c r="O8" s="5"/>
      <c r="P8" s="5"/>
      <c r="Q8" s="5"/>
      <c r="R8" s="5"/>
      <c r="S8" s="5"/>
      <c r="T8" s="5"/>
      <c r="U8" s="5"/>
      <c r="V8" s="5"/>
      <c r="W8" s="5"/>
      <c r="X8" s="3"/>
      <c r="Y8" s="3"/>
      <c r="Z8" s="6"/>
      <c r="AA8" s="3"/>
      <c r="AB8" s="3"/>
      <c r="AC8" s="3"/>
      <c r="AD8" s="3"/>
      <c r="AE8" s="3"/>
      <c r="AF8" s="3"/>
      <c r="AG8" s="3"/>
      <c r="AH8"/>
    </row>
    <row r="9" spans="1:34" x14ac:dyDescent="0.2">
      <c r="A9" s="3"/>
      <c r="B9" s="56" t="s">
        <v>130</v>
      </c>
      <c r="C9" s="5"/>
      <c r="D9" s="21"/>
      <c r="E9" s="5"/>
      <c r="F9" s="5"/>
      <c r="G9" s="5"/>
      <c r="H9" s="5"/>
      <c r="I9" s="5"/>
      <c r="J9" s="5"/>
      <c r="K9" s="5"/>
      <c r="L9" s="5"/>
      <c r="M9" s="5"/>
      <c r="N9" s="5"/>
      <c r="O9" s="5"/>
      <c r="P9" s="5"/>
      <c r="Q9" s="5"/>
      <c r="R9" s="5"/>
      <c r="S9" s="5"/>
      <c r="T9" s="5"/>
      <c r="U9" s="5"/>
      <c r="V9" s="5"/>
      <c r="W9" s="5"/>
      <c r="X9" s="3"/>
      <c r="Y9" s="3"/>
      <c r="Z9" s="6"/>
      <c r="AA9" s="3"/>
      <c r="AB9" s="3"/>
      <c r="AC9" s="3"/>
      <c r="AD9" s="3"/>
      <c r="AE9" s="3"/>
      <c r="AF9" s="3"/>
      <c r="AG9" s="3"/>
      <c r="AH9"/>
    </row>
    <row r="10" spans="1:34" x14ac:dyDescent="0.2">
      <c r="A10" s="3"/>
      <c r="B10" s="56" t="s">
        <v>74</v>
      </c>
      <c r="C10" s="5"/>
      <c r="D10" s="21"/>
      <c r="E10" s="5"/>
      <c r="F10" s="5"/>
      <c r="G10" s="5"/>
      <c r="H10" s="5"/>
      <c r="I10" s="5"/>
      <c r="J10" s="5"/>
      <c r="K10" s="5"/>
      <c r="L10" s="5"/>
      <c r="M10" s="5"/>
      <c r="N10" s="5"/>
      <c r="O10" s="5"/>
      <c r="P10" s="5"/>
      <c r="Q10" s="5"/>
      <c r="R10" s="5"/>
      <c r="S10" s="5"/>
      <c r="T10" s="5"/>
      <c r="U10" s="5"/>
      <c r="V10" s="5"/>
      <c r="W10" s="5"/>
      <c r="X10" s="3"/>
      <c r="Y10" s="3"/>
      <c r="Z10" s="6"/>
      <c r="AA10" s="3"/>
      <c r="AB10" s="3"/>
      <c r="AC10" s="3"/>
      <c r="AD10" s="3"/>
      <c r="AE10" s="3"/>
      <c r="AF10" s="3"/>
      <c r="AG10" s="3"/>
      <c r="AH10"/>
    </row>
    <row r="11" spans="1:34" x14ac:dyDescent="0.2">
      <c r="A11" s="3"/>
      <c r="B11" s="56" t="s">
        <v>216</v>
      </c>
      <c r="C11" s="5"/>
      <c r="D11" s="21"/>
      <c r="E11" s="5"/>
      <c r="F11" s="5"/>
      <c r="G11" s="5"/>
      <c r="H11" s="5"/>
      <c r="I11" s="5"/>
      <c r="J11" s="5"/>
      <c r="K11" s="5"/>
      <c r="L11" s="5"/>
      <c r="M11" s="5"/>
      <c r="N11" s="5"/>
      <c r="O11" s="5"/>
      <c r="P11" s="5"/>
      <c r="Q11" s="5"/>
      <c r="R11" s="5"/>
      <c r="S11" s="5"/>
      <c r="T11" s="5"/>
      <c r="U11" s="5"/>
      <c r="V11" s="5"/>
      <c r="W11" s="5"/>
      <c r="X11" s="3"/>
      <c r="Y11" s="3"/>
      <c r="Z11" s="6"/>
      <c r="AA11" s="3"/>
      <c r="AB11" s="3"/>
      <c r="AC11" s="3"/>
      <c r="AD11" s="3"/>
      <c r="AE11" s="3"/>
      <c r="AF11" s="3"/>
      <c r="AG11" s="3"/>
      <c r="AH11"/>
    </row>
    <row r="12" spans="1:34" x14ac:dyDescent="0.2">
      <c r="A12" s="3"/>
      <c r="B12" s="56" t="s">
        <v>217</v>
      </c>
      <c r="C12" s="5"/>
      <c r="D12" s="21"/>
      <c r="E12" s="5"/>
      <c r="F12" s="5"/>
      <c r="G12" s="5"/>
      <c r="H12" s="5"/>
      <c r="I12" s="5"/>
      <c r="J12" s="5"/>
      <c r="K12" s="5"/>
      <c r="L12" s="5"/>
      <c r="M12" s="5"/>
      <c r="N12" s="5"/>
      <c r="O12" s="5"/>
      <c r="P12" s="5"/>
      <c r="Q12" s="5"/>
      <c r="R12" s="5"/>
      <c r="S12" s="5"/>
      <c r="T12" s="5"/>
      <c r="U12" s="5"/>
      <c r="V12" s="5"/>
      <c r="W12" s="5"/>
      <c r="X12" s="3"/>
      <c r="Y12" s="3"/>
      <c r="Z12" s="6"/>
      <c r="AA12" s="3"/>
      <c r="AB12" s="3"/>
      <c r="AC12" s="3"/>
      <c r="AD12" s="3"/>
      <c r="AE12" s="3"/>
      <c r="AF12" s="3"/>
      <c r="AG12" s="3"/>
      <c r="AH12"/>
    </row>
    <row r="13" spans="1:34" x14ac:dyDescent="0.2">
      <c r="A13" s="3"/>
      <c r="B13" s="56" t="s">
        <v>218</v>
      </c>
      <c r="C13" s="5"/>
      <c r="D13" s="21"/>
      <c r="E13" s="5"/>
      <c r="F13" s="5"/>
      <c r="G13" s="5"/>
      <c r="H13" s="5"/>
      <c r="I13" s="5"/>
      <c r="J13" s="5"/>
      <c r="K13" s="5"/>
      <c r="L13" s="5"/>
      <c r="M13" s="5"/>
      <c r="N13" s="5"/>
      <c r="O13" s="5"/>
      <c r="P13" s="5"/>
      <c r="Q13" s="5"/>
      <c r="R13" s="5"/>
      <c r="S13" s="5"/>
      <c r="T13" s="5"/>
      <c r="U13" s="5"/>
      <c r="V13" s="5"/>
      <c r="W13" s="5"/>
      <c r="X13" s="3"/>
      <c r="Y13" s="3"/>
      <c r="Z13" s="6"/>
      <c r="AA13" s="3"/>
      <c r="AB13" s="3"/>
      <c r="AC13" s="3"/>
      <c r="AD13" s="3"/>
      <c r="AE13" s="3"/>
      <c r="AF13" s="3"/>
      <c r="AG13" s="3"/>
      <c r="AH13"/>
    </row>
    <row r="14" spans="1:34" x14ac:dyDescent="0.2">
      <c r="A14" s="3"/>
      <c r="B14" s="56" t="s">
        <v>219</v>
      </c>
      <c r="C14" s="5"/>
      <c r="D14" s="21"/>
      <c r="E14" s="5"/>
      <c r="F14" s="5"/>
      <c r="G14" s="5"/>
      <c r="H14" s="5"/>
      <c r="I14" s="5"/>
      <c r="J14" s="5"/>
      <c r="K14" s="5"/>
      <c r="L14" s="5"/>
      <c r="M14" s="5"/>
      <c r="N14" s="5"/>
      <c r="O14" s="5"/>
      <c r="P14" s="5"/>
      <c r="Q14" s="5"/>
      <c r="R14" s="5"/>
      <c r="S14" s="5"/>
      <c r="T14" s="5"/>
      <c r="U14" s="5"/>
      <c r="V14" s="5"/>
      <c r="W14" s="5"/>
      <c r="X14" s="3"/>
      <c r="Y14" s="3"/>
      <c r="Z14" s="6"/>
      <c r="AA14" s="3"/>
      <c r="AB14" s="3"/>
      <c r="AC14" s="3"/>
      <c r="AD14" s="3"/>
      <c r="AE14" s="3"/>
      <c r="AF14" s="3"/>
      <c r="AG14" s="3"/>
      <c r="AH14"/>
    </row>
    <row r="15" spans="1:34" x14ac:dyDescent="0.2">
      <c r="A15" s="3"/>
      <c r="B15" s="55" t="s">
        <v>214</v>
      </c>
      <c r="C15" s="5"/>
      <c r="D15" s="21"/>
      <c r="E15" s="5"/>
      <c r="F15" s="5"/>
      <c r="G15" s="5"/>
      <c r="H15" s="5"/>
      <c r="I15" s="5"/>
      <c r="J15" s="5"/>
      <c r="K15" s="5"/>
      <c r="L15" s="5"/>
      <c r="M15" s="5"/>
      <c r="N15" s="5"/>
      <c r="O15" s="5"/>
      <c r="P15" s="5"/>
      <c r="Q15" s="5"/>
      <c r="R15" s="5"/>
      <c r="S15" s="5"/>
      <c r="T15" s="5"/>
      <c r="U15" s="5"/>
      <c r="V15" s="5"/>
      <c r="W15" s="5"/>
      <c r="X15" s="3"/>
      <c r="Y15" s="3"/>
      <c r="Z15" s="6"/>
      <c r="AA15" s="3"/>
      <c r="AB15" s="3"/>
      <c r="AC15" s="3"/>
      <c r="AD15" s="3"/>
      <c r="AE15" s="3"/>
      <c r="AF15" s="3"/>
      <c r="AG15" s="3"/>
      <c r="AH15"/>
    </row>
    <row r="16" spans="1:34" s="15" customFormat="1" x14ac:dyDescent="0.2">
      <c r="A16" s="3"/>
      <c r="B16" s="3" t="s">
        <v>224</v>
      </c>
      <c r="C16" s="3"/>
      <c r="D16" s="21"/>
      <c r="E16" s="5"/>
      <c r="F16" s="5"/>
      <c r="G16" s="5"/>
      <c r="H16" s="5"/>
      <c r="I16" s="5"/>
      <c r="J16" s="5"/>
      <c r="K16" s="5"/>
      <c r="L16" s="5"/>
      <c r="M16" s="5"/>
      <c r="N16" s="5"/>
      <c r="O16" s="5"/>
      <c r="P16" s="5"/>
      <c r="Q16" s="5"/>
      <c r="R16" s="5"/>
      <c r="S16" s="5"/>
      <c r="T16" s="5"/>
      <c r="U16" s="5"/>
      <c r="V16" s="5"/>
      <c r="W16" s="5"/>
      <c r="X16" s="5"/>
      <c r="Y16" s="5"/>
      <c r="Z16" s="5"/>
      <c r="AA16" s="5"/>
      <c r="AB16" s="6"/>
      <c r="AC16" s="3"/>
      <c r="AD16" s="3"/>
      <c r="AE16" s="3"/>
      <c r="AF16" s="3"/>
      <c r="AG16" s="3"/>
    </row>
    <row r="17" spans="1:34" s="15" customFormat="1" x14ac:dyDescent="0.2">
      <c r="A17" s="3"/>
      <c r="B17" s="56" t="s">
        <v>88</v>
      </c>
      <c r="C17" s="5"/>
      <c r="D17" s="21"/>
      <c r="E17" s="5"/>
      <c r="F17" s="5"/>
      <c r="G17" s="5"/>
      <c r="H17" s="5"/>
      <c r="I17" s="5"/>
      <c r="J17" s="5"/>
      <c r="K17" s="5"/>
      <c r="L17" s="5"/>
      <c r="M17" s="5"/>
      <c r="N17" s="5"/>
      <c r="O17" s="5"/>
      <c r="P17" s="5"/>
      <c r="Q17" s="5"/>
      <c r="R17" s="5"/>
      <c r="S17" s="5"/>
      <c r="T17" s="5"/>
      <c r="U17" s="5"/>
      <c r="V17" s="5"/>
      <c r="W17" s="5"/>
      <c r="X17" s="5"/>
      <c r="Y17" s="5"/>
      <c r="Z17" s="5"/>
      <c r="AA17" s="5"/>
      <c r="AB17" s="6"/>
      <c r="AC17" s="3"/>
      <c r="AD17" s="3"/>
      <c r="AE17" s="3"/>
      <c r="AF17" s="3"/>
      <c r="AG17" s="3"/>
    </row>
    <row r="18" spans="1:34" s="15" customFormat="1" x14ac:dyDescent="0.2">
      <c r="A18" s="3"/>
      <c r="B18" s="56" t="s">
        <v>234</v>
      </c>
      <c r="C18" s="5"/>
      <c r="D18" s="21"/>
      <c r="E18" s="5"/>
      <c r="F18" s="5"/>
      <c r="G18" s="5"/>
      <c r="H18" s="5"/>
      <c r="I18" s="5"/>
      <c r="J18" s="5"/>
      <c r="K18" s="5"/>
      <c r="L18" s="5"/>
      <c r="M18" s="5"/>
      <c r="N18" s="5"/>
      <c r="O18" s="5"/>
      <c r="P18" s="5"/>
      <c r="Q18" s="5"/>
      <c r="R18" s="5"/>
      <c r="S18" s="5"/>
      <c r="T18" s="5"/>
      <c r="U18" s="5"/>
      <c r="V18" s="5"/>
      <c r="W18" s="5"/>
      <c r="X18" s="5"/>
      <c r="Y18" s="5"/>
      <c r="Z18" s="5"/>
      <c r="AA18" s="5"/>
      <c r="AB18" s="6"/>
      <c r="AC18" s="3"/>
      <c r="AD18" s="3"/>
      <c r="AE18" s="3"/>
      <c r="AF18" s="3"/>
      <c r="AG18" s="3"/>
    </row>
    <row r="19" spans="1:34" s="15" customFormat="1" x14ac:dyDescent="0.2">
      <c r="A19" s="3"/>
      <c r="B19" s="56" t="s">
        <v>235</v>
      </c>
      <c r="C19" s="5"/>
      <c r="D19" s="21"/>
      <c r="E19" s="5"/>
      <c r="F19" s="5"/>
      <c r="G19" s="5"/>
      <c r="H19" s="5"/>
      <c r="I19" s="5"/>
      <c r="J19" s="5"/>
      <c r="K19" s="5"/>
      <c r="L19" s="5"/>
      <c r="M19" s="5"/>
      <c r="N19" s="5"/>
      <c r="O19" s="5"/>
      <c r="P19" s="5"/>
      <c r="Q19" s="5"/>
      <c r="R19" s="5"/>
      <c r="S19" s="5"/>
      <c r="T19" s="5"/>
      <c r="U19" s="5"/>
      <c r="V19" s="5"/>
      <c r="W19" s="5"/>
      <c r="X19" s="5"/>
      <c r="Y19" s="5"/>
      <c r="Z19" s="5"/>
      <c r="AA19" s="5"/>
      <c r="AB19" s="6"/>
      <c r="AC19" s="3"/>
      <c r="AD19" s="3"/>
      <c r="AE19" s="3"/>
      <c r="AF19" s="3"/>
      <c r="AG19" s="3"/>
    </row>
    <row r="20" spans="1:34" s="15" customFormat="1" x14ac:dyDescent="0.2">
      <c r="A20" s="3"/>
      <c r="B20" s="56" t="s">
        <v>213</v>
      </c>
      <c r="C20" s="5"/>
      <c r="D20" s="21"/>
      <c r="E20" s="5"/>
      <c r="F20" s="5"/>
      <c r="G20" s="5"/>
      <c r="H20" s="5"/>
      <c r="I20" s="5"/>
      <c r="J20" s="5"/>
      <c r="K20" s="5"/>
      <c r="L20" s="5"/>
      <c r="M20" s="5"/>
      <c r="N20" s="5"/>
      <c r="O20" s="5"/>
      <c r="P20" s="5"/>
      <c r="Q20" s="5"/>
      <c r="R20" s="5"/>
      <c r="S20" s="5"/>
      <c r="T20" s="5"/>
      <c r="U20" s="5"/>
      <c r="V20" s="5"/>
      <c r="W20" s="5"/>
      <c r="X20" s="5"/>
      <c r="Y20" s="5"/>
      <c r="Z20" s="5"/>
      <c r="AA20" s="5"/>
      <c r="AB20" s="6"/>
      <c r="AC20" s="3"/>
      <c r="AD20" s="3"/>
      <c r="AE20" s="3"/>
      <c r="AF20" s="3"/>
      <c r="AG20" s="3"/>
    </row>
    <row r="21" spans="1:34" x14ac:dyDescent="0.2">
      <c r="A21" s="3"/>
      <c r="B21" s="56" t="s">
        <v>197</v>
      </c>
      <c r="C21" s="5"/>
      <c r="D21" s="21"/>
      <c r="E21" s="5"/>
      <c r="F21" s="5"/>
      <c r="G21" s="5"/>
      <c r="H21" s="5"/>
      <c r="I21" s="5"/>
      <c r="J21" s="5"/>
      <c r="K21" s="5"/>
      <c r="L21" s="5"/>
      <c r="M21" s="5"/>
      <c r="N21" s="5"/>
      <c r="O21" s="5"/>
      <c r="P21" s="5"/>
      <c r="Q21" s="5"/>
      <c r="R21" s="5"/>
      <c r="S21" s="5"/>
      <c r="T21" s="5"/>
      <c r="U21" s="5"/>
      <c r="V21" s="5"/>
      <c r="W21" s="5"/>
      <c r="X21" s="5"/>
      <c r="Y21" s="5"/>
      <c r="Z21" s="5"/>
      <c r="AA21" s="5"/>
      <c r="AB21" s="6"/>
      <c r="AC21" s="3"/>
      <c r="AD21" s="3"/>
      <c r="AE21" s="3"/>
      <c r="AF21" s="3"/>
      <c r="AG21" s="3"/>
    </row>
    <row r="22" spans="1:34" x14ac:dyDescent="0.2">
      <c r="A22" s="3"/>
      <c r="B22" s="56" t="s">
        <v>141</v>
      </c>
      <c r="C22" s="5"/>
      <c r="D22" s="21"/>
      <c r="E22" s="5"/>
      <c r="F22" s="5"/>
      <c r="G22" s="5"/>
      <c r="H22" s="5"/>
      <c r="I22" s="5"/>
      <c r="J22" s="5"/>
      <c r="K22" s="5"/>
      <c r="L22" s="5"/>
      <c r="M22" s="5"/>
      <c r="N22" s="5"/>
      <c r="O22" s="5"/>
      <c r="P22" s="5"/>
      <c r="Q22" s="5"/>
      <c r="R22" s="5"/>
      <c r="S22" s="5"/>
      <c r="T22" s="5"/>
      <c r="U22" s="5"/>
      <c r="V22" s="5"/>
      <c r="W22" s="5"/>
      <c r="X22" s="5"/>
      <c r="Y22" s="5"/>
      <c r="Z22" s="5"/>
      <c r="AA22" s="5"/>
      <c r="AB22" s="6"/>
      <c r="AC22" s="3"/>
      <c r="AD22" s="3"/>
      <c r="AE22" s="3"/>
      <c r="AF22" s="3"/>
      <c r="AG22" s="3"/>
    </row>
    <row r="23" spans="1:34" x14ac:dyDescent="0.2">
      <c r="A23" s="3"/>
      <c r="B23" s="55" t="s">
        <v>71</v>
      </c>
      <c r="C23" s="5"/>
      <c r="D23" s="21"/>
      <c r="E23" s="5"/>
      <c r="F23" s="5"/>
      <c r="G23" s="5"/>
      <c r="H23" s="5"/>
      <c r="I23" s="5"/>
      <c r="J23" s="5"/>
      <c r="K23" s="5"/>
      <c r="L23" s="5"/>
      <c r="M23" s="5"/>
      <c r="N23" s="5"/>
      <c r="O23" s="5"/>
      <c r="P23" s="5"/>
      <c r="Q23" s="5"/>
      <c r="R23" s="5"/>
      <c r="S23" s="5"/>
      <c r="T23" s="5"/>
      <c r="U23" s="5"/>
      <c r="V23" s="5"/>
      <c r="W23" s="5"/>
      <c r="X23" s="3"/>
      <c r="Y23" s="3"/>
      <c r="Z23" s="6"/>
      <c r="AA23" s="3"/>
      <c r="AB23" s="3"/>
      <c r="AC23" s="3"/>
      <c r="AD23" s="3"/>
      <c r="AE23" s="3"/>
      <c r="AF23" s="3"/>
      <c r="AG23" s="3"/>
      <c r="AH23"/>
    </row>
    <row r="24" spans="1:34" x14ac:dyDescent="0.2">
      <c r="A24" s="3"/>
      <c r="B24" s="55" t="s">
        <v>220</v>
      </c>
      <c r="C24" s="5"/>
      <c r="D24" s="21"/>
      <c r="E24" s="5"/>
      <c r="F24" s="5"/>
      <c r="G24" s="5"/>
      <c r="H24" s="5"/>
      <c r="I24" s="5"/>
      <c r="J24" s="5"/>
      <c r="K24" s="5"/>
      <c r="L24" s="5"/>
      <c r="M24" s="5"/>
      <c r="N24" s="5"/>
      <c r="O24" s="5"/>
      <c r="P24" s="5"/>
      <c r="Q24" s="5"/>
      <c r="R24" s="5"/>
      <c r="S24" s="5"/>
      <c r="T24" s="5"/>
      <c r="U24" s="5"/>
      <c r="V24" s="5"/>
      <c r="W24" s="5"/>
      <c r="X24" s="3"/>
      <c r="Y24" s="3"/>
      <c r="Z24" s="6"/>
      <c r="AA24" s="3"/>
      <c r="AB24" s="3"/>
      <c r="AC24" s="3"/>
      <c r="AD24" s="3"/>
      <c r="AE24" s="3"/>
      <c r="AF24" s="3"/>
      <c r="AG24" s="3"/>
      <c r="AH24"/>
    </row>
    <row r="25" spans="1:34" x14ac:dyDescent="0.2">
      <c r="A25" s="3"/>
      <c r="B25" s="55" t="s">
        <v>212</v>
      </c>
      <c r="C25" s="5"/>
      <c r="D25" s="21"/>
      <c r="E25" s="5"/>
      <c r="F25" s="5"/>
      <c r="G25" s="5"/>
      <c r="H25" s="5"/>
      <c r="I25" s="5"/>
      <c r="J25" s="5"/>
      <c r="K25" s="5"/>
      <c r="L25" s="5"/>
      <c r="M25" s="5"/>
      <c r="N25" s="5"/>
      <c r="O25" s="5"/>
      <c r="P25" s="5"/>
      <c r="Q25" s="5"/>
      <c r="R25" s="5"/>
      <c r="S25" s="5"/>
      <c r="T25" s="5"/>
      <c r="U25" s="5"/>
      <c r="V25" s="5"/>
      <c r="W25" s="5"/>
      <c r="X25" s="3"/>
      <c r="Y25" s="3"/>
      <c r="Z25" s="6"/>
      <c r="AA25" s="3"/>
      <c r="AB25" s="3"/>
      <c r="AC25" s="3"/>
      <c r="AD25" s="3"/>
      <c r="AE25" s="3"/>
      <c r="AF25" s="3"/>
      <c r="AG25" s="3"/>
      <c r="AH25"/>
    </row>
    <row r="26" spans="1:34" x14ac:dyDescent="0.2">
      <c r="A26" s="3"/>
      <c r="B26" s="56" t="s">
        <v>132</v>
      </c>
      <c r="C26" s="5"/>
      <c r="D26" s="21"/>
      <c r="E26" s="5"/>
      <c r="F26" s="5"/>
      <c r="G26" s="5"/>
      <c r="H26" s="5"/>
      <c r="I26" s="5"/>
      <c r="J26" s="5"/>
      <c r="K26" s="5"/>
      <c r="L26" s="5"/>
      <c r="M26" s="5"/>
      <c r="N26" s="5"/>
      <c r="O26" s="5"/>
      <c r="P26" s="5"/>
      <c r="Q26" s="5"/>
      <c r="R26" s="5"/>
      <c r="S26" s="5"/>
      <c r="T26" s="5"/>
      <c r="U26" s="5"/>
      <c r="V26" s="5"/>
      <c r="W26" s="5"/>
      <c r="X26" s="5"/>
      <c r="Y26" s="5"/>
      <c r="Z26" s="5"/>
      <c r="AA26" s="5"/>
      <c r="AB26" s="6"/>
      <c r="AC26" s="3"/>
      <c r="AD26" s="3"/>
      <c r="AE26" s="3"/>
      <c r="AF26" s="3"/>
      <c r="AG26" s="3"/>
    </row>
    <row r="27" spans="1:34" x14ac:dyDescent="0.2">
      <c r="A27" s="3"/>
      <c r="B27" s="55" t="s">
        <v>221</v>
      </c>
      <c r="C27" s="5"/>
      <c r="D27" s="21"/>
      <c r="E27" s="5"/>
      <c r="F27" s="5"/>
      <c r="G27" s="5"/>
      <c r="H27" s="5"/>
      <c r="I27" s="5"/>
      <c r="J27" s="5"/>
      <c r="K27" s="5"/>
      <c r="L27" s="5"/>
      <c r="M27" s="5"/>
      <c r="N27" s="5"/>
      <c r="O27" s="5"/>
      <c r="P27" s="5"/>
      <c r="Q27" s="5"/>
      <c r="R27" s="5"/>
      <c r="S27" s="5"/>
      <c r="T27" s="5"/>
      <c r="U27" s="5"/>
      <c r="V27" s="5"/>
      <c r="W27" s="5"/>
      <c r="X27" s="3"/>
      <c r="Y27" s="3"/>
      <c r="Z27" s="6"/>
      <c r="AA27" s="3"/>
      <c r="AB27" s="3"/>
      <c r="AC27" s="3"/>
      <c r="AD27" s="3"/>
      <c r="AE27" s="3"/>
      <c r="AF27" s="3"/>
      <c r="AG27" s="3"/>
      <c r="AH27"/>
    </row>
    <row r="28" spans="1:34" x14ac:dyDescent="0.2">
      <c r="A28" s="3"/>
      <c r="B28" s="57" t="s">
        <v>75</v>
      </c>
      <c r="C28" s="3"/>
      <c r="D28" s="3"/>
      <c r="E28" s="5"/>
      <c r="F28" s="5"/>
      <c r="G28" s="5"/>
      <c r="H28" s="5"/>
      <c r="I28" s="5"/>
      <c r="J28" s="5"/>
      <c r="K28" s="5"/>
      <c r="L28" s="5"/>
      <c r="M28" s="5"/>
      <c r="N28" s="5"/>
      <c r="O28" s="5"/>
      <c r="P28" s="5"/>
      <c r="Q28" s="5"/>
      <c r="R28" s="5"/>
      <c r="S28" s="5"/>
      <c r="T28" s="5"/>
      <c r="U28" s="5"/>
      <c r="V28" s="5"/>
      <c r="W28" s="5"/>
      <c r="X28" s="3"/>
      <c r="Y28" s="3"/>
      <c r="Z28" s="6"/>
      <c r="AA28" s="3"/>
      <c r="AB28" s="3"/>
      <c r="AC28" s="3"/>
      <c r="AD28" s="3"/>
      <c r="AE28" s="3"/>
      <c r="AF28" s="3"/>
      <c r="AG28" s="3"/>
      <c r="AH28"/>
    </row>
    <row r="29" spans="1:34" x14ac:dyDescent="0.2">
      <c r="A29" s="3"/>
      <c r="B29" s="57" t="s">
        <v>76</v>
      </c>
      <c r="C29" s="3"/>
      <c r="D29" s="3"/>
      <c r="E29" s="5"/>
      <c r="F29" s="5"/>
      <c r="G29" s="5"/>
      <c r="H29" s="5"/>
      <c r="I29" s="5"/>
      <c r="J29" s="5"/>
      <c r="K29" s="5"/>
      <c r="L29" s="5"/>
      <c r="M29" s="5"/>
      <c r="N29" s="5"/>
      <c r="O29" s="5"/>
      <c r="P29" s="5"/>
      <c r="Q29" s="5"/>
      <c r="R29" s="5"/>
      <c r="S29" s="5"/>
      <c r="T29" s="5"/>
      <c r="U29" s="5"/>
      <c r="V29" s="5"/>
      <c r="W29" s="5"/>
      <c r="X29" s="3"/>
      <c r="Y29" s="3"/>
      <c r="Z29" s="6"/>
      <c r="AA29" s="3"/>
      <c r="AB29" s="3"/>
      <c r="AC29" s="3"/>
      <c r="AD29" s="3"/>
      <c r="AE29" s="3"/>
      <c r="AF29" s="3"/>
      <c r="AG29" s="3"/>
      <c r="AH29"/>
    </row>
    <row r="30" spans="1:34" x14ac:dyDescent="0.2">
      <c r="A30" s="3"/>
      <c r="B30" s="57" t="s">
        <v>72</v>
      </c>
      <c r="C30" s="3"/>
      <c r="D30" s="3"/>
      <c r="E30" s="5"/>
      <c r="F30" s="5"/>
      <c r="G30" s="5"/>
      <c r="H30" s="5"/>
      <c r="I30" s="5"/>
      <c r="J30" s="5"/>
      <c r="K30" s="5"/>
      <c r="L30" s="5"/>
      <c r="M30" s="5"/>
      <c r="N30" s="5"/>
      <c r="O30" s="5"/>
      <c r="P30" s="5"/>
      <c r="Q30" s="5"/>
      <c r="R30" s="5"/>
      <c r="S30" s="5"/>
      <c r="T30" s="5"/>
      <c r="U30" s="5"/>
      <c r="V30" s="5"/>
      <c r="W30" s="5"/>
      <c r="X30" s="3"/>
      <c r="Y30" s="3"/>
      <c r="Z30" s="6"/>
      <c r="AA30" s="3"/>
      <c r="AB30" s="3"/>
      <c r="AC30" s="3"/>
      <c r="AD30" s="3"/>
      <c r="AE30" s="3"/>
      <c r="AF30" s="3"/>
      <c r="AG30" s="3"/>
      <c r="AH30"/>
    </row>
    <row r="31" spans="1:34" x14ac:dyDescent="0.2">
      <c r="A31" s="3"/>
      <c r="B31" s="57" t="s">
        <v>73</v>
      </c>
      <c r="C31" s="3"/>
      <c r="D31" s="3"/>
      <c r="E31" s="5"/>
      <c r="F31" s="5"/>
      <c r="G31" s="5"/>
      <c r="H31" s="5"/>
      <c r="I31" s="5"/>
      <c r="J31" s="5"/>
      <c r="K31" s="5"/>
      <c r="L31" s="5"/>
      <c r="M31" s="5"/>
      <c r="N31" s="5"/>
      <c r="O31" s="5"/>
      <c r="P31" s="5"/>
      <c r="Q31" s="5"/>
      <c r="R31" s="5"/>
      <c r="S31" s="5"/>
      <c r="T31" s="5"/>
      <c r="U31" s="5"/>
      <c r="V31" s="5"/>
      <c r="W31" s="5"/>
      <c r="X31" s="3"/>
      <c r="Y31" s="3"/>
      <c r="Z31" s="6"/>
      <c r="AA31" s="3"/>
      <c r="AB31" s="3"/>
      <c r="AC31" s="3"/>
      <c r="AD31" s="3"/>
      <c r="AE31" s="3"/>
      <c r="AF31" s="3"/>
      <c r="AG31" s="3"/>
      <c r="AH31"/>
    </row>
    <row r="32" spans="1:34" x14ac:dyDescent="0.2">
      <c r="A32" s="3"/>
      <c r="B32" s="57" t="s">
        <v>79</v>
      </c>
      <c r="C32" s="5"/>
      <c r="D32" s="21"/>
      <c r="E32" s="5"/>
      <c r="F32" s="5"/>
      <c r="G32" s="5"/>
      <c r="H32" s="5"/>
      <c r="I32" s="5"/>
      <c r="J32" s="5"/>
      <c r="K32" s="5"/>
      <c r="L32" s="5"/>
      <c r="M32" s="5"/>
      <c r="N32" s="5"/>
      <c r="O32" s="5"/>
      <c r="P32" s="5"/>
      <c r="Q32" s="5"/>
      <c r="R32" s="5"/>
      <c r="S32" s="5"/>
      <c r="T32" s="5"/>
      <c r="U32" s="5"/>
      <c r="V32" s="5"/>
      <c r="W32" s="5"/>
      <c r="X32" s="5"/>
      <c r="Y32" s="5"/>
      <c r="Z32" s="5"/>
      <c r="AA32" s="5"/>
      <c r="AB32" s="6"/>
      <c r="AC32" s="3"/>
      <c r="AD32" s="3"/>
      <c r="AE32" s="3"/>
      <c r="AF32" s="3"/>
      <c r="AG32" s="3"/>
    </row>
    <row r="33" spans="1:34" x14ac:dyDescent="0.2">
      <c r="A33" s="3"/>
      <c r="B33" s="3" t="s">
        <v>222</v>
      </c>
      <c r="C33" s="3"/>
      <c r="D33" s="21"/>
      <c r="E33" s="5"/>
      <c r="F33" s="5"/>
      <c r="G33" s="5"/>
      <c r="H33" s="5"/>
      <c r="I33" s="5"/>
      <c r="J33" s="5"/>
      <c r="K33" s="5"/>
      <c r="L33" s="5"/>
      <c r="M33" s="5"/>
      <c r="N33" s="5"/>
      <c r="O33" s="5"/>
      <c r="P33" s="5"/>
      <c r="Q33" s="5"/>
      <c r="R33" s="5"/>
      <c r="S33" s="5"/>
      <c r="T33" s="5"/>
      <c r="U33" s="5"/>
      <c r="V33" s="5"/>
      <c r="W33" s="5"/>
      <c r="X33" s="5"/>
      <c r="Y33" s="5"/>
      <c r="Z33" s="5"/>
      <c r="AA33" s="5"/>
      <c r="AB33" s="6"/>
      <c r="AC33" s="3"/>
      <c r="AD33" s="3"/>
      <c r="AE33" s="3"/>
      <c r="AF33" s="3"/>
      <c r="AG33" s="3"/>
    </row>
    <row r="34" spans="1:34" x14ac:dyDescent="0.2">
      <c r="A34" s="3"/>
      <c r="B34" s="3" t="s">
        <v>223</v>
      </c>
      <c r="C34" s="3"/>
      <c r="D34" s="21"/>
      <c r="E34" s="5"/>
      <c r="F34" s="5"/>
      <c r="G34" s="5"/>
      <c r="H34" s="5"/>
      <c r="I34" s="5"/>
      <c r="J34" s="5"/>
      <c r="K34" s="5"/>
      <c r="L34" s="5"/>
      <c r="M34" s="5"/>
      <c r="N34" s="5"/>
      <c r="O34" s="5"/>
      <c r="P34" s="5"/>
      <c r="Q34" s="5"/>
      <c r="R34" s="5"/>
      <c r="S34" s="5"/>
      <c r="T34" s="5"/>
      <c r="U34" s="5"/>
      <c r="V34" s="5"/>
      <c r="W34" s="5"/>
      <c r="X34" s="5"/>
      <c r="Y34" s="5"/>
      <c r="Z34" s="5"/>
      <c r="AA34" s="5"/>
      <c r="AB34" s="6"/>
      <c r="AC34" s="3"/>
      <c r="AD34" s="3"/>
      <c r="AE34" s="3"/>
      <c r="AF34" s="3"/>
      <c r="AG34" s="3"/>
    </row>
    <row r="35" spans="1:34" x14ac:dyDescent="0.2">
      <c r="A35" s="3"/>
      <c r="B35" s="3"/>
      <c r="C35" s="3"/>
      <c r="D35" s="3"/>
      <c r="E35" s="3"/>
      <c r="F35" s="5"/>
      <c r="G35" s="5"/>
      <c r="H35" s="5"/>
      <c r="I35" s="5"/>
      <c r="J35" s="5"/>
      <c r="K35" s="5"/>
      <c r="L35" s="5"/>
      <c r="M35" s="5"/>
      <c r="N35" s="5"/>
      <c r="O35" s="5"/>
      <c r="P35" s="5"/>
      <c r="Q35" s="5"/>
      <c r="R35" s="5"/>
      <c r="S35" s="5"/>
      <c r="T35" s="5"/>
      <c r="U35" s="5"/>
      <c r="V35" s="5"/>
      <c r="W35" s="5"/>
      <c r="X35" s="3"/>
      <c r="Y35" s="3"/>
      <c r="Z35" s="6"/>
      <c r="AA35" s="3"/>
      <c r="AB35" s="3"/>
      <c r="AC35" s="3"/>
      <c r="AD35" s="3"/>
      <c r="AE35" s="3"/>
      <c r="AF35" s="3"/>
      <c r="AG35" s="3"/>
      <c r="AH35"/>
    </row>
    <row r="36" spans="1:34" s="15" customFormat="1" ht="15.4" customHeight="1" x14ac:dyDescent="0.2">
      <c r="A36" s="3"/>
      <c r="B36" s="57" t="s">
        <v>61</v>
      </c>
      <c r="C36" s="5"/>
      <c r="D36" s="21"/>
      <c r="E36" s="5"/>
      <c r="F36" s="5"/>
      <c r="G36" s="5"/>
      <c r="H36" s="5"/>
      <c r="I36" s="5"/>
      <c r="J36" s="5"/>
      <c r="K36" s="5"/>
      <c r="L36" s="5"/>
      <c r="M36" s="5"/>
      <c r="N36" s="5"/>
      <c r="O36" s="5"/>
      <c r="P36" s="5"/>
      <c r="Q36" s="5"/>
      <c r="R36" s="5"/>
      <c r="S36" s="5"/>
      <c r="T36" s="5"/>
      <c r="U36" s="5"/>
      <c r="V36" s="5"/>
      <c r="W36" s="5"/>
      <c r="X36" s="5"/>
      <c r="Y36" s="5"/>
      <c r="Z36" s="5"/>
      <c r="AA36" s="5"/>
      <c r="AB36" s="6"/>
      <c r="AC36" s="3"/>
      <c r="AD36" s="3"/>
      <c r="AE36" s="3"/>
      <c r="AF36" s="3"/>
      <c r="AG36" s="3"/>
    </row>
    <row r="37" spans="1:34" x14ac:dyDescent="0.2">
      <c r="A37" s="3"/>
      <c r="B37" s="58" t="s">
        <v>32</v>
      </c>
      <c r="C37" s="51"/>
      <c r="D37" s="51"/>
      <c r="E37" s="54"/>
      <c r="F37" s="5"/>
      <c r="G37" s="5"/>
      <c r="H37" s="5"/>
      <c r="I37" s="5"/>
      <c r="J37" s="5"/>
      <c r="K37" s="5"/>
      <c r="L37" s="5"/>
      <c r="M37" s="5"/>
      <c r="N37" s="5"/>
      <c r="O37" s="5"/>
      <c r="P37" s="5"/>
      <c r="Q37" s="5"/>
      <c r="R37" s="5"/>
      <c r="S37" s="5"/>
      <c r="T37" s="5"/>
      <c r="U37" s="5"/>
      <c r="V37" s="5"/>
      <c r="W37" s="5"/>
      <c r="X37" s="3"/>
      <c r="Y37" s="3"/>
      <c r="Z37" s="6"/>
      <c r="AA37" s="3"/>
      <c r="AB37" s="3"/>
      <c r="AC37" s="3"/>
      <c r="AD37" s="3"/>
      <c r="AE37" s="3"/>
      <c r="AF37" s="3"/>
      <c r="AG37" s="3"/>
      <c r="AH37"/>
    </row>
    <row r="38" spans="1:34" x14ac:dyDescent="0.2">
      <c r="A38" s="3"/>
      <c r="B38" s="3"/>
      <c r="C38" s="3"/>
      <c r="D38" s="3"/>
      <c r="E38" s="5"/>
      <c r="F38" s="5"/>
      <c r="G38" s="5"/>
      <c r="H38" s="5"/>
      <c r="I38" s="5"/>
      <c r="J38" s="5"/>
      <c r="K38" s="5"/>
      <c r="L38" s="5"/>
      <c r="M38" s="5"/>
      <c r="N38" s="5"/>
      <c r="O38" s="5"/>
      <c r="P38" s="5"/>
      <c r="Q38" s="5"/>
      <c r="R38" s="5"/>
      <c r="S38" s="5"/>
      <c r="T38" s="5"/>
      <c r="U38" s="5"/>
      <c r="V38" s="5"/>
      <c r="W38" s="5"/>
      <c r="X38" s="5"/>
      <c r="Y38" s="5"/>
      <c r="Z38" s="3"/>
      <c r="AA38" s="3"/>
      <c r="AB38" s="6"/>
      <c r="AC38" s="3"/>
      <c r="AD38" s="3"/>
      <c r="AE38" s="3"/>
      <c r="AF38" s="3"/>
      <c r="AG38" s="3"/>
    </row>
  </sheetData>
  <pageMargins left="0.7" right="0.7" top="0.75" bottom="0.75" header="0.3" footer="0.3"/>
  <pageSetup paperSize="9" orientation="portrait" horizontalDpi="4294967293"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I83"/>
  <sheetViews>
    <sheetView tabSelected="1" topLeftCell="B40" zoomScaleNormal="100" workbookViewId="0">
      <selection activeCell="J34" sqref="J34"/>
    </sheetView>
  </sheetViews>
  <sheetFormatPr defaultRowHeight="15" x14ac:dyDescent="0.2"/>
  <cols>
    <col min="1" max="1" width="4.70703125" customWidth="1"/>
    <col min="2" max="2" width="6.3203125" customWidth="1"/>
    <col min="3" max="3" width="10.76171875" customWidth="1"/>
    <col min="4" max="4" width="7.3984375" customWidth="1"/>
    <col min="5" max="5" width="6.9921875" customWidth="1"/>
    <col min="6" max="26" width="5.91796875" style="1" customWidth="1"/>
    <col min="27" max="27" width="3.359375" customWidth="1"/>
    <col min="29" max="29" width="5.91796875" style="2" customWidth="1"/>
    <col min="34" max="35" width="9.14453125" style="15"/>
  </cols>
  <sheetData>
    <row r="1" spans="1:35" x14ac:dyDescent="0.2">
      <c r="A1" s="17"/>
      <c r="B1" s="23" t="s">
        <v>139</v>
      </c>
      <c r="C1" s="23"/>
      <c r="D1" s="16"/>
      <c r="E1" s="16"/>
      <c r="F1" s="17"/>
      <c r="G1" s="17"/>
      <c r="H1" s="17"/>
      <c r="I1" s="17"/>
      <c r="J1" s="17"/>
      <c r="K1" s="17"/>
      <c r="L1" s="17"/>
      <c r="M1" s="17"/>
      <c r="N1" s="17"/>
      <c r="O1" s="17"/>
      <c r="P1" s="17"/>
      <c r="Q1" s="17"/>
      <c r="R1" s="17"/>
      <c r="S1" s="17"/>
      <c r="T1" s="17"/>
      <c r="U1" s="17"/>
      <c r="V1" s="17"/>
      <c r="W1" s="17"/>
      <c r="X1" s="17"/>
      <c r="Y1" s="17"/>
      <c r="Z1" s="17"/>
      <c r="AA1" s="16"/>
      <c r="AB1" s="16"/>
      <c r="AC1" s="18"/>
      <c r="AD1" s="16"/>
      <c r="AE1" s="16"/>
      <c r="AF1" s="16"/>
      <c r="AG1" s="16"/>
      <c r="AH1" s="16"/>
    </row>
    <row r="2" spans="1:35" x14ac:dyDescent="0.2">
      <c r="A2" s="3"/>
      <c r="B2" s="3"/>
      <c r="C2" s="3"/>
      <c r="D2" s="4" t="s">
        <v>133</v>
      </c>
      <c r="E2" s="5">
        <v>2023</v>
      </c>
      <c r="F2" s="5">
        <v>2020</v>
      </c>
      <c r="G2" s="5">
        <v>2018</v>
      </c>
      <c r="H2" s="5"/>
      <c r="I2" s="5"/>
      <c r="J2" s="5"/>
      <c r="K2" s="5"/>
      <c r="L2" s="5"/>
      <c r="M2" s="5"/>
      <c r="N2" s="5"/>
      <c r="O2" s="5"/>
      <c r="P2" s="5"/>
      <c r="Q2" s="5"/>
      <c r="R2" s="5"/>
      <c r="S2" s="5"/>
      <c r="T2" s="5"/>
      <c r="U2" s="5"/>
      <c r="V2" s="5"/>
      <c r="W2" s="5"/>
      <c r="X2" s="5"/>
      <c r="Y2" s="3"/>
      <c r="Z2" s="3"/>
      <c r="AA2" s="6"/>
      <c r="AB2" s="3"/>
      <c r="AC2" s="3"/>
      <c r="AD2" s="3"/>
      <c r="AE2" s="3"/>
      <c r="AF2" s="3"/>
      <c r="AG2" s="3"/>
      <c r="AH2" s="3"/>
      <c r="AI2"/>
    </row>
    <row r="3" spans="1:35" x14ac:dyDescent="0.2">
      <c r="A3" s="3"/>
      <c r="B3" s="30" t="s">
        <v>127</v>
      </c>
      <c r="C3" s="24"/>
      <c r="D3" s="26"/>
      <c r="E3" s="116"/>
      <c r="F3" s="117"/>
      <c r="G3" s="116"/>
      <c r="H3" s="116"/>
      <c r="I3" s="116"/>
      <c r="J3" s="116"/>
      <c r="K3" s="116"/>
      <c r="L3" s="116"/>
      <c r="M3" s="116"/>
      <c r="N3" s="116"/>
      <c r="O3" s="116"/>
      <c r="P3" s="116"/>
      <c r="Q3" s="116"/>
      <c r="R3" s="143"/>
      <c r="S3" s="5"/>
      <c r="T3" s="5"/>
      <c r="U3" s="5"/>
      <c r="V3" s="5"/>
      <c r="W3" s="5"/>
      <c r="X3" s="5"/>
      <c r="Y3" s="3"/>
      <c r="Z3" s="3"/>
      <c r="AA3" s="6"/>
      <c r="AB3" s="3"/>
      <c r="AC3" s="3"/>
      <c r="AD3" s="3"/>
      <c r="AE3" s="3"/>
      <c r="AF3" s="3"/>
      <c r="AG3" s="3"/>
      <c r="AH3" s="3"/>
      <c r="AI3"/>
    </row>
    <row r="4" spans="1:35" x14ac:dyDescent="0.2">
      <c r="A4" s="3"/>
      <c r="B4" s="8"/>
      <c r="C4" s="7"/>
      <c r="D4" s="27" t="s">
        <v>70</v>
      </c>
      <c r="E4" s="66">
        <v>90</v>
      </c>
      <c r="F4" s="118" t="s">
        <v>225</v>
      </c>
      <c r="G4" s="7"/>
      <c r="H4" s="144"/>
      <c r="I4" s="144"/>
      <c r="J4" s="144"/>
      <c r="K4" s="144"/>
      <c r="L4" s="144"/>
      <c r="M4" s="144"/>
      <c r="N4" s="144"/>
      <c r="O4" s="144"/>
      <c r="P4" s="144"/>
      <c r="Q4" s="144"/>
      <c r="R4" s="145"/>
      <c r="S4" s="5"/>
      <c r="T4" s="5"/>
      <c r="U4" s="5"/>
      <c r="V4" s="5"/>
      <c r="W4" s="5"/>
      <c r="X4" s="5"/>
      <c r="Y4" s="3"/>
      <c r="Z4" s="3"/>
      <c r="AA4" s="6"/>
      <c r="AB4" s="3"/>
      <c r="AC4" s="3"/>
      <c r="AD4" s="3"/>
      <c r="AE4" s="3"/>
      <c r="AF4" s="3"/>
      <c r="AG4" s="3"/>
      <c r="AH4" s="3"/>
      <c r="AI4"/>
    </row>
    <row r="5" spans="1:35" x14ac:dyDescent="0.2">
      <c r="A5" s="3"/>
      <c r="B5" s="8"/>
      <c r="C5" s="7"/>
      <c r="D5" s="115" t="s">
        <v>114</v>
      </c>
      <c r="E5" s="137" t="str">
        <f>E6&amp;"-"&amp;E4</f>
        <v>10-90</v>
      </c>
      <c r="F5" s="118" t="s">
        <v>236</v>
      </c>
      <c r="G5" s="144"/>
      <c r="H5" s="144"/>
      <c r="I5" s="144"/>
      <c r="J5" s="144"/>
      <c r="K5" s="144"/>
      <c r="L5" s="144"/>
      <c r="M5" s="144"/>
      <c r="N5" s="144"/>
      <c r="O5" s="144"/>
      <c r="P5" s="144"/>
      <c r="Q5" s="144"/>
      <c r="R5" s="145"/>
      <c r="S5" s="5"/>
      <c r="T5" s="5"/>
      <c r="U5" s="5"/>
      <c r="V5" s="5"/>
      <c r="W5" s="5"/>
      <c r="X5" s="5"/>
      <c r="Y5" s="3"/>
      <c r="Z5" s="3"/>
      <c r="AA5" s="6"/>
      <c r="AB5" s="3"/>
      <c r="AC5" s="3"/>
      <c r="AD5" s="3"/>
      <c r="AE5" s="3"/>
      <c r="AF5" s="3"/>
      <c r="AG5" s="3"/>
      <c r="AH5" s="3"/>
      <c r="AI5"/>
    </row>
    <row r="6" spans="1:35" x14ac:dyDescent="0.2">
      <c r="A6" s="3"/>
      <c r="B6" s="8"/>
      <c r="C6" s="7"/>
      <c r="D6" s="115" t="s">
        <v>69</v>
      </c>
      <c r="E6" s="137">
        <f>100-E4</f>
        <v>10</v>
      </c>
      <c r="F6" s="118" t="s">
        <v>128</v>
      </c>
      <c r="G6" s="144"/>
      <c r="H6" s="144"/>
      <c r="I6" s="144"/>
      <c r="J6" s="144"/>
      <c r="K6" s="144"/>
      <c r="L6" s="146"/>
      <c r="M6" s="144"/>
      <c r="N6" s="146"/>
      <c r="O6" s="144"/>
      <c r="P6" s="144"/>
      <c r="Q6" s="144"/>
      <c r="R6" s="145"/>
      <c r="S6" s="5"/>
      <c r="T6" s="5"/>
      <c r="U6" s="5"/>
      <c r="V6" s="5"/>
      <c r="W6" s="5"/>
      <c r="X6" s="5"/>
      <c r="Y6" s="3"/>
      <c r="Z6" s="3"/>
      <c r="AA6" s="6"/>
      <c r="AB6" s="3"/>
      <c r="AC6" s="3"/>
      <c r="AD6" s="3"/>
      <c r="AE6" s="3"/>
      <c r="AF6" s="3"/>
      <c r="AG6" s="3"/>
      <c r="AH6" s="3"/>
      <c r="AI6"/>
    </row>
    <row r="7" spans="1:35" x14ac:dyDescent="0.2">
      <c r="A7" s="3"/>
      <c r="B7" s="32" t="s">
        <v>229</v>
      </c>
      <c r="C7" s="25"/>
      <c r="D7" s="25"/>
      <c r="E7" s="25"/>
      <c r="F7" s="119"/>
      <c r="G7" s="147"/>
      <c r="H7" s="147"/>
      <c r="I7" s="147"/>
      <c r="J7" s="147"/>
      <c r="K7" s="147"/>
      <c r="L7" s="147"/>
      <c r="M7" s="147"/>
      <c r="N7" s="147"/>
      <c r="O7" s="147"/>
      <c r="P7" s="147"/>
      <c r="Q7" s="147"/>
      <c r="R7" s="148"/>
      <c r="S7" s="5"/>
      <c r="T7" s="5"/>
      <c r="U7" s="5"/>
      <c r="V7" s="5"/>
      <c r="W7" s="5"/>
      <c r="X7" s="5"/>
      <c r="Y7" s="3"/>
      <c r="Z7" s="3"/>
      <c r="AA7" s="6"/>
      <c r="AB7" s="3"/>
      <c r="AC7" s="3"/>
      <c r="AD7" s="3"/>
      <c r="AE7" s="3"/>
      <c r="AF7" s="3"/>
      <c r="AG7" s="3"/>
      <c r="AH7" s="3"/>
      <c r="AI7"/>
    </row>
    <row r="8" spans="1:35" x14ac:dyDescent="0.2">
      <c r="A8" s="3"/>
      <c r="B8" s="3"/>
      <c r="C8" s="7"/>
      <c r="D8" s="7"/>
      <c r="E8" s="7"/>
      <c r="F8" s="7"/>
      <c r="G8" s="5"/>
      <c r="H8" s="5"/>
      <c r="I8" s="6"/>
      <c r="J8" s="5"/>
      <c r="K8" s="5"/>
      <c r="L8" s="5"/>
      <c r="M8" s="5"/>
      <c r="N8" s="5"/>
      <c r="O8" s="5"/>
      <c r="P8" s="5"/>
      <c r="Q8" s="5"/>
      <c r="R8" s="5"/>
      <c r="S8" s="5"/>
      <c r="T8" s="5"/>
      <c r="U8" s="5"/>
      <c r="V8" s="5"/>
      <c r="W8" s="5"/>
      <c r="X8" s="5"/>
      <c r="Y8" s="3"/>
      <c r="Z8" s="3"/>
      <c r="AA8" s="6"/>
      <c r="AB8" s="3"/>
      <c r="AC8" s="3"/>
      <c r="AD8" s="3"/>
      <c r="AE8" s="3"/>
      <c r="AF8" s="3"/>
      <c r="AG8" s="3"/>
      <c r="AH8" s="3"/>
      <c r="AI8"/>
    </row>
    <row r="9" spans="1:35" s="15" customFormat="1" x14ac:dyDescent="0.2">
      <c r="A9" s="3"/>
      <c r="B9" s="3"/>
      <c r="C9" s="3"/>
      <c r="D9" s="3"/>
      <c r="E9" s="3"/>
      <c r="F9" s="20" t="s">
        <v>92</v>
      </c>
      <c r="G9" s="5"/>
      <c r="H9" s="5"/>
      <c r="I9" s="6"/>
      <c r="J9" s="5"/>
      <c r="K9" s="5"/>
      <c r="L9" s="5"/>
      <c r="M9" s="5"/>
      <c r="N9" s="5"/>
      <c r="O9" s="5"/>
      <c r="P9" s="5"/>
      <c r="Q9" s="5"/>
      <c r="R9" s="5"/>
      <c r="S9" s="5"/>
      <c r="T9" s="5"/>
      <c r="U9" s="5"/>
      <c r="V9" s="5"/>
      <c r="W9" s="5"/>
      <c r="X9" s="5"/>
      <c r="Y9" s="5"/>
      <c r="Z9" s="5"/>
      <c r="AA9" s="19" t="s">
        <v>186</v>
      </c>
      <c r="AB9" s="3"/>
      <c r="AC9" s="3"/>
      <c r="AD9" s="3"/>
      <c r="AE9" s="3"/>
      <c r="AF9" s="3"/>
      <c r="AG9" s="3"/>
      <c r="AH9" s="3"/>
    </row>
    <row r="10" spans="1:35" s="15" customFormat="1" x14ac:dyDescent="0.2">
      <c r="A10" s="3"/>
      <c r="B10" s="3"/>
      <c r="C10" s="3"/>
      <c r="D10" s="3"/>
      <c r="E10" s="3"/>
      <c r="F10" s="20" t="s">
        <v>91</v>
      </c>
      <c r="G10" s="5"/>
      <c r="H10" s="5"/>
      <c r="I10" s="5"/>
      <c r="J10" s="5"/>
      <c r="K10" s="5"/>
      <c r="L10" s="5"/>
      <c r="M10" s="5"/>
      <c r="N10" s="5"/>
      <c r="O10" s="5"/>
      <c r="P10" s="5"/>
      <c r="Q10" s="5"/>
      <c r="R10" s="5"/>
      <c r="S10" s="5"/>
      <c r="T10" s="5"/>
      <c r="U10" s="5"/>
      <c r="V10" s="5"/>
      <c r="W10" s="5"/>
      <c r="X10" s="5"/>
      <c r="Y10" s="5"/>
      <c r="Z10" s="5"/>
      <c r="AA10" s="19" t="s">
        <v>187</v>
      </c>
      <c r="AB10" s="3"/>
      <c r="AC10" s="6"/>
      <c r="AD10" s="3"/>
      <c r="AE10" s="3"/>
      <c r="AF10" s="3"/>
      <c r="AG10" s="3"/>
      <c r="AH10" s="3"/>
    </row>
    <row r="11" spans="1:35" s="15" customFormat="1" x14ac:dyDescent="0.2">
      <c r="A11" s="3"/>
      <c r="B11" s="3"/>
      <c r="C11" s="3"/>
      <c r="D11" s="3"/>
      <c r="E11" s="3"/>
      <c r="F11" s="20"/>
      <c r="G11" s="5"/>
      <c r="H11" s="5"/>
      <c r="I11" s="5"/>
      <c r="J11" s="5"/>
      <c r="K11" s="5"/>
      <c r="L11" s="5"/>
      <c r="M11" s="5"/>
      <c r="N11" s="5"/>
      <c r="O11" s="5"/>
      <c r="P11" s="5"/>
      <c r="Q11" s="5"/>
      <c r="R11" s="5"/>
      <c r="S11" s="5"/>
      <c r="T11" s="5"/>
      <c r="U11" s="5"/>
      <c r="V11" s="5"/>
      <c r="W11" s="5"/>
      <c r="X11" s="5"/>
      <c r="Y11" s="5"/>
      <c r="Z11" s="5"/>
      <c r="AA11" s="8"/>
      <c r="AB11" s="3"/>
      <c r="AC11" s="6"/>
      <c r="AD11" s="3"/>
      <c r="AE11" s="3"/>
      <c r="AF11" s="3"/>
      <c r="AG11" s="3"/>
      <c r="AH11" s="3"/>
    </row>
    <row r="12" spans="1:35" s="15" customFormat="1" x14ac:dyDescent="0.2">
      <c r="A12" s="3"/>
      <c r="B12" s="3"/>
      <c r="C12" s="3"/>
      <c r="D12" s="3"/>
      <c r="E12" s="4"/>
      <c r="F12" s="20" t="s">
        <v>232</v>
      </c>
      <c r="G12" s="5"/>
      <c r="H12" s="5"/>
      <c r="I12" s="5"/>
      <c r="J12" s="5"/>
      <c r="K12" s="5"/>
      <c r="L12" s="5"/>
      <c r="M12" s="5"/>
      <c r="N12" s="5"/>
      <c r="O12" s="5"/>
      <c r="P12" s="5"/>
      <c r="Q12" s="5"/>
      <c r="R12" s="5"/>
      <c r="S12" s="5"/>
      <c r="T12" s="5"/>
      <c r="U12" s="5"/>
      <c r="V12" s="5"/>
      <c r="W12" s="5"/>
      <c r="X12" s="5"/>
      <c r="Y12" s="5"/>
      <c r="Z12" s="5"/>
      <c r="AA12" s="19" t="s">
        <v>40</v>
      </c>
      <c r="AB12" s="3"/>
      <c r="AC12" s="6"/>
      <c r="AD12" s="3"/>
      <c r="AE12" s="3"/>
      <c r="AF12" s="3"/>
      <c r="AG12" s="3"/>
      <c r="AH12" s="3"/>
    </row>
    <row r="13" spans="1:35" s="15" customFormat="1" x14ac:dyDescent="0.2">
      <c r="A13" s="3"/>
      <c r="B13" s="30"/>
      <c r="C13" s="31" t="s">
        <v>14</v>
      </c>
      <c r="D13" s="134">
        <f>IF(E13+E14=0,F68,IF(E13=0,D14*IF(F69=0,F55,F69)/100,E13))</f>
        <v>1.4201250000000001</v>
      </c>
      <c r="E13" s="61"/>
      <c r="F13" s="34" t="str">
        <f>IF(AND(E13+E14&gt;0,E15=0),"Error: insert a degrees of freedom or clear the typical error.",IF(AND(E13+E14=0,E15&gt;0),"Error: insert a typical error or clear the degrees of freedom.",""))</f>
        <v/>
      </c>
      <c r="G13" s="5"/>
      <c r="H13" s="5"/>
      <c r="I13" s="6"/>
      <c r="J13" s="5"/>
      <c r="K13" s="5"/>
      <c r="L13" s="5"/>
      <c r="M13" s="5"/>
      <c r="N13" s="5"/>
      <c r="O13" s="5"/>
      <c r="P13" s="5"/>
      <c r="Q13" s="5"/>
      <c r="R13" s="5"/>
      <c r="S13" s="5"/>
      <c r="T13" s="5"/>
      <c r="U13" s="5"/>
      <c r="V13" s="5"/>
      <c r="W13" s="5"/>
      <c r="X13" s="5"/>
      <c r="Y13" s="5"/>
      <c r="Z13" s="5"/>
      <c r="AA13" s="8" t="s">
        <v>42</v>
      </c>
      <c r="AB13" s="3"/>
      <c r="AC13" s="6"/>
      <c r="AD13" s="3"/>
      <c r="AE13" s="3"/>
      <c r="AF13" s="3"/>
      <c r="AG13" s="3"/>
      <c r="AH13" s="3"/>
    </row>
    <row r="14" spans="1:35" s="15" customFormat="1" x14ac:dyDescent="0.2">
      <c r="A14" s="3"/>
      <c r="B14" s="8"/>
      <c r="C14" s="20" t="s">
        <v>5</v>
      </c>
      <c r="D14" s="150">
        <f>IF(E14=0,D13/IF(F69=0,F55,F69)*100,E14)</f>
        <v>3</v>
      </c>
      <c r="E14" s="28">
        <v>3</v>
      </c>
      <c r="F14" s="35" t="str">
        <f>IF(AND(ISNUMBER(E13),ISNUMBER(E14)),"Error: insert either a raw or percent typical error, not both.","")</f>
        <v/>
      </c>
      <c r="G14" s="5"/>
      <c r="H14" s="5"/>
      <c r="I14" s="6"/>
      <c r="J14" s="5"/>
      <c r="K14" s="5"/>
      <c r="L14" s="5"/>
      <c r="M14" s="5"/>
      <c r="N14" s="5"/>
      <c r="O14" s="5"/>
      <c r="P14" s="5"/>
      <c r="Q14" s="5"/>
      <c r="R14" s="5"/>
      <c r="S14" s="5"/>
      <c r="T14" s="5"/>
      <c r="U14" s="5"/>
      <c r="V14" s="5"/>
      <c r="W14" s="5"/>
      <c r="X14" s="5"/>
      <c r="Y14" s="5"/>
      <c r="Z14" s="5"/>
      <c r="AA14" s="8"/>
      <c r="AB14" s="3"/>
      <c r="AC14" s="6"/>
      <c r="AD14" s="3"/>
      <c r="AE14" s="3"/>
      <c r="AF14" s="3"/>
      <c r="AG14" s="3"/>
      <c r="AH14" s="3"/>
    </row>
    <row r="15" spans="1:35" s="15" customFormat="1" x14ac:dyDescent="0.2">
      <c r="A15" s="3"/>
      <c r="B15" s="32"/>
      <c r="C15" s="33" t="s">
        <v>35</v>
      </c>
      <c r="D15" s="135">
        <f>IF(E15+E13+E14=0,F72-2,E15)</f>
        <v>19</v>
      </c>
      <c r="E15" s="95">
        <v>19</v>
      </c>
      <c r="F15" s="36" t="str">
        <f>IF(ISBLANK(E15),IF(D15&lt;1,"If you do not insert a typical error, you must choose enough scores for a trendline.","The typical error of the estimate is now used for inferences."&amp;IF(F72&lt;10," But "&amp;F72&amp;" time points do not provide an accurate estimate of typical error.","")),"")</f>
        <v/>
      </c>
      <c r="G15" s="5"/>
      <c r="H15" s="5"/>
      <c r="I15" s="5"/>
      <c r="J15" s="5"/>
      <c r="K15" s="5"/>
      <c r="L15" s="5"/>
      <c r="M15" s="5"/>
      <c r="N15" s="5"/>
      <c r="O15" s="5"/>
      <c r="P15" s="5"/>
      <c r="Q15" s="5"/>
      <c r="R15" s="5"/>
      <c r="S15" s="5"/>
      <c r="T15" s="5"/>
      <c r="U15" s="5"/>
      <c r="V15" s="5"/>
      <c r="W15" s="5"/>
      <c r="X15" s="5"/>
      <c r="Y15" s="5"/>
      <c r="Z15" s="5"/>
      <c r="AA15" s="8" t="s">
        <v>41</v>
      </c>
      <c r="AB15" s="3" t="s">
        <v>233</v>
      </c>
      <c r="AC15" s="6"/>
      <c r="AD15" s="3"/>
      <c r="AE15" s="3"/>
      <c r="AF15" s="3"/>
      <c r="AG15" s="3"/>
      <c r="AH15" s="3"/>
    </row>
    <row r="16" spans="1:35" s="15" customFormat="1" x14ac:dyDescent="0.2">
      <c r="A16" s="3"/>
      <c r="B16" s="3"/>
      <c r="C16" s="30"/>
      <c r="D16" s="31" t="s">
        <v>89</v>
      </c>
      <c r="E16" s="61"/>
      <c r="F16" s="111" t="str">
        <f>IF(OR(E16&lt;0,E17&lt;0),"Insert a positive value for the smallest important change.",IF(AND(E16=0,E17=0),"The smallest important is 0.",""))</f>
        <v/>
      </c>
      <c r="G16" s="5"/>
      <c r="H16" s="5"/>
      <c r="I16" s="6"/>
      <c r="J16" s="5"/>
      <c r="K16" s="5"/>
      <c r="L16" s="5"/>
      <c r="M16" s="5"/>
      <c r="N16" s="5"/>
      <c r="O16" s="5"/>
      <c r="P16" s="5"/>
      <c r="Q16" s="5"/>
      <c r="R16" s="5"/>
      <c r="S16" s="5"/>
      <c r="T16" s="5"/>
      <c r="U16" s="5"/>
      <c r="V16" s="5"/>
      <c r="W16" s="5"/>
      <c r="X16" s="5"/>
      <c r="Y16" s="5"/>
      <c r="Z16" s="5"/>
      <c r="AA16" s="8"/>
      <c r="AB16" s="3" t="s">
        <v>39</v>
      </c>
      <c r="AC16" s="6"/>
      <c r="AD16" s="3"/>
      <c r="AE16" s="3"/>
      <c r="AF16" s="3"/>
      <c r="AG16" s="3"/>
      <c r="AH16" s="3"/>
    </row>
    <row r="17" spans="1:34" s="15" customFormat="1" ht="15.95" customHeight="1" x14ac:dyDescent="0.2">
      <c r="A17" s="3"/>
      <c r="B17" s="3"/>
      <c r="C17" s="32"/>
      <c r="D17" s="33" t="s">
        <v>90</v>
      </c>
      <c r="E17" s="28">
        <v>2.5</v>
      </c>
      <c r="F17" s="36" t="str">
        <f>IF(AND(ISNUMBER(E16),ISNUMBER(E17)),"Error: insert either a raw or percent smallest important change, not both.","")</f>
        <v/>
      </c>
      <c r="G17" s="5"/>
      <c r="H17" s="5"/>
      <c r="I17" s="5"/>
      <c r="J17" s="5"/>
      <c r="K17" s="5"/>
      <c r="L17" s="5"/>
      <c r="M17" s="5"/>
      <c r="N17" s="5"/>
      <c r="O17" s="5"/>
      <c r="P17" s="5"/>
      <c r="Q17" s="5"/>
      <c r="R17" s="5"/>
      <c r="S17" s="5"/>
      <c r="T17" s="5"/>
      <c r="U17" s="5"/>
      <c r="V17" s="5"/>
      <c r="W17" s="5"/>
      <c r="X17" s="5"/>
      <c r="Y17" s="5"/>
      <c r="Z17" s="5"/>
      <c r="AA17" s="8"/>
      <c r="AB17" s="3" t="s">
        <v>38</v>
      </c>
      <c r="AC17" s="6"/>
      <c r="AD17" s="3"/>
      <c r="AE17" s="3"/>
      <c r="AF17" s="3"/>
      <c r="AG17" s="3"/>
      <c r="AH17" s="3"/>
    </row>
    <row r="18" spans="1:34" s="15" customFormat="1" x14ac:dyDescent="0.2">
      <c r="A18" s="3"/>
      <c r="B18" s="7"/>
      <c r="C18" s="8"/>
      <c r="D18" s="20" t="s">
        <v>84</v>
      </c>
      <c r="E18" s="12"/>
      <c r="F18" s="35" t="str">
        <f>IF(AND(OR(ISNUMBER($E$18),ISNUMBER($E$19)),ISBLANK($E$20)),"Insert a value for units of time","")</f>
        <v/>
      </c>
      <c r="G18" s="5"/>
      <c r="H18" s="5"/>
      <c r="I18" s="5"/>
      <c r="J18" s="5"/>
      <c r="K18" s="5"/>
      <c r="L18" s="5"/>
      <c r="M18" s="5"/>
      <c r="N18" s="5"/>
      <c r="O18" s="5"/>
      <c r="P18" s="5"/>
      <c r="Q18" s="5"/>
      <c r="R18" s="5"/>
      <c r="S18" s="5"/>
      <c r="T18" s="5"/>
      <c r="U18" s="5"/>
      <c r="V18" s="5"/>
      <c r="W18" s="5"/>
      <c r="X18" s="5"/>
      <c r="Y18" s="5"/>
      <c r="Z18" s="5"/>
      <c r="AA18" s="8"/>
      <c r="AB18" s="3" t="s">
        <v>37</v>
      </c>
      <c r="AC18" s="6"/>
      <c r="AD18" s="3"/>
      <c r="AE18" s="3"/>
      <c r="AF18" s="3"/>
      <c r="AG18" s="3"/>
      <c r="AH18" s="3"/>
    </row>
    <row r="19" spans="1:34" s="15" customFormat="1" x14ac:dyDescent="0.2">
      <c r="A19" s="3"/>
      <c r="B19" s="7"/>
      <c r="C19" s="8"/>
      <c r="D19" s="20" t="s">
        <v>85</v>
      </c>
      <c r="E19" s="12">
        <v>-5</v>
      </c>
      <c r="F19" s="35" t="str">
        <f>IF(AND(ISNUMBER(E18),ISNUMBER(E19)),"Error: insert either a raw or percent smallest trend, not both.","")</f>
        <v/>
      </c>
      <c r="G19" s="5"/>
      <c r="H19" s="5"/>
      <c r="I19" s="5"/>
      <c r="J19" s="5"/>
      <c r="K19" s="5"/>
      <c r="L19" s="5"/>
      <c r="M19" s="5"/>
      <c r="N19" s="5"/>
      <c r="O19" s="5"/>
      <c r="P19" s="5"/>
      <c r="Q19" s="5"/>
      <c r="R19" s="5"/>
      <c r="S19" s="5"/>
      <c r="T19" s="5"/>
      <c r="U19" s="5"/>
      <c r="V19" s="5"/>
      <c r="W19" s="5"/>
      <c r="X19" s="5"/>
      <c r="Y19" s="5"/>
      <c r="Z19" s="5"/>
      <c r="AA19" s="8"/>
      <c r="AB19" s="6" t="s">
        <v>237</v>
      </c>
      <c r="AC19" s="6"/>
      <c r="AD19" s="3"/>
      <c r="AE19" s="3"/>
      <c r="AF19" s="3"/>
      <c r="AG19" s="3"/>
      <c r="AH19" s="3"/>
    </row>
    <row r="20" spans="1:34" s="15" customFormat="1" x14ac:dyDescent="0.2">
      <c r="A20" s="3"/>
      <c r="B20" s="7"/>
      <c r="C20" s="32"/>
      <c r="D20" s="33" t="s">
        <v>28</v>
      </c>
      <c r="E20" s="28">
        <v>10</v>
      </c>
      <c r="F20" s="89" t="s">
        <v>29</v>
      </c>
      <c r="G20" s="5"/>
      <c r="H20" s="5"/>
      <c r="I20" s="5"/>
      <c r="J20" s="5"/>
      <c r="K20" s="5"/>
      <c r="L20" s="5"/>
      <c r="M20" s="5"/>
      <c r="N20" s="5"/>
      <c r="O20" s="5"/>
      <c r="P20" s="5"/>
      <c r="Q20" s="5"/>
      <c r="R20" s="5"/>
      <c r="S20" s="5"/>
      <c r="T20" s="5"/>
      <c r="U20" s="5"/>
      <c r="V20" s="5"/>
      <c r="W20" s="5"/>
      <c r="X20" s="5"/>
      <c r="Y20" s="5"/>
      <c r="Z20" s="5"/>
      <c r="AA20" s="8"/>
      <c r="AB20" s="3" t="s">
        <v>238</v>
      </c>
      <c r="AC20" s="6"/>
      <c r="AD20" s="3"/>
      <c r="AE20" s="3"/>
      <c r="AF20" s="3"/>
      <c r="AG20" s="3"/>
      <c r="AH20" s="3"/>
    </row>
    <row r="21" spans="1:34" s="15" customFormat="1" x14ac:dyDescent="0.2">
      <c r="A21" s="3"/>
      <c r="B21" s="3"/>
      <c r="C21" s="3"/>
      <c r="D21" s="3"/>
      <c r="E21" s="4"/>
      <c r="F21" s="96" t="str">
        <f t="shared" ref="F21:Z21" si="0">IF(OR(AND(ISBLANK(F22),ISNUMBER(F23)),AND(ISNUMBER(F22),ISBLANK(F23))),"*","")</f>
        <v/>
      </c>
      <c r="G21" s="38" t="str">
        <f t="shared" si="0"/>
        <v/>
      </c>
      <c r="H21" s="38" t="str">
        <f t="shared" si="0"/>
        <v/>
      </c>
      <c r="I21" s="38" t="str">
        <f t="shared" si="0"/>
        <v/>
      </c>
      <c r="J21" s="38" t="str">
        <f t="shared" si="0"/>
        <v/>
      </c>
      <c r="K21" s="38" t="str">
        <f t="shared" si="0"/>
        <v/>
      </c>
      <c r="L21" s="38" t="str">
        <f t="shared" si="0"/>
        <v/>
      </c>
      <c r="M21" s="38" t="str">
        <f t="shared" si="0"/>
        <v/>
      </c>
      <c r="N21" s="38" t="str">
        <f t="shared" si="0"/>
        <v/>
      </c>
      <c r="O21" s="38" t="str">
        <f t="shared" si="0"/>
        <v/>
      </c>
      <c r="P21" s="38" t="str">
        <f t="shared" si="0"/>
        <v/>
      </c>
      <c r="Q21" s="38" t="str">
        <f t="shared" si="0"/>
        <v/>
      </c>
      <c r="R21" s="38" t="str">
        <f t="shared" si="0"/>
        <v/>
      </c>
      <c r="S21" s="38" t="str">
        <f t="shared" si="0"/>
        <v/>
      </c>
      <c r="T21" s="38" t="str">
        <f t="shared" si="0"/>
        <v/>
      </c>
      <c r="U21" s="38" t="str">
        <f t="shared" si="0"/>
        <v/>
      </c>
      <c r="V21" s="38" t="str">
        <f t="shared" si="0"/>
        <v/>
      </c>
      <c r="W21" s="38" t="str">
        <f t="shared" si="0"/>
        <v/>
      </c>
      <c r="X21" s="38" t="str">
        <f t="shared" si="0"/>
        <v/>
      </c>
      <c r="Y21" s="38" t="str">
        <f t="shared" si="0"/>
        <v/>
      </c>
      <c r="Z21" s="38" t="str">
        <f t="shared" si="0"/>
        <v/>
      </c>
      <c r="AA21" s="63" t="str">
        <f>IFERROR(IF(HLOOKUP("~*",F21:Z21,1,0)="*","Add or delete time or test score indicated by *.",""),"")</f>
        <v/>
      </c>
      <c r="AB21" s="6"/>
      <c r="AC21" s="6"/>
      <c r="AD21" s="3"/>
      <c r="AE21" s="3"/>
      <c r="AF21" s="3"/>
      <c r="AG21" s="3"/>
      <c r="AH21" s="3"/>
    </row>
    <row r="22" spans="1:34" s="15" customFormat="1" x14ac:dyDescent="0.2">
      <c r="A22" s="3"/>
      <c r="B22" s="3"/>
      <c r="C22" s="30"/>
      <c r="D22" s="24"/>
      <c r="E22" s="31" t="s">
        <v>0</v>
      </c>
      <c r="F22" s="61">
        <v>0.1</v>
      </c>
      <c r="G22" s="61">
        <v>1</v>
      </c>
      <c r="H22" s="61"/>
      <c r="I22" s="61">
        <v>3</v>
      </c>
      <c r="J22" s="61">
        <v>4</v>
      </c>
      <c r="K22" s="61"/>
      <c r="L22" s="61">
        <v>6</v>
      </c>
      <c r="M22" s="61">
        <v>7</v>
      </c>
      <c r="N22" s="61"/>
      <c r="O22" s="61"/>
      <c r="P22" s="61">
        <v>10</v>
      </c>
      <c r="Q22" s="61">
        <v>11</v>
      </c>
      <c r="R22" s="61">
        <v>12</v>
      </c>
      <c r="S22" s="61">
        <v>13</v>
      </c>
      <c r="T22" s="61">
        <v>14</v>
      </c>
      <c r="U22" s="61">
        <v>15</v>
      </c>
      <c r="V22" s="61">
        <v>16</v>
      </c>
      <c r="W22" s="61">
        <v>17</v>
      </c>
      <c r="X22" s="61">
        <v>18</v>
      </c>
      <c r="Y22" s="61"/>
      <c r="Z22" s="61"/>
      <c r="AA22" s="7"/>
      <c r="AB22" s="3"/>
      <c r="AC22" s="6"/>
      <c r="AD22" s="3"/>
      <c r="AE22" s="3"/>
      <c r="AF22" s="3"/>
      <c r="AG22" s="3"/>
      <c r="AH22" s="3"/>
    </row>
    <row r="23" spans="1:34" s="15" customFormat="1" x14ac:dyDescent="0.2">
      <c r="A23" s="3"/>
      <c r="B23" s="3"/>
      <c r="C23" s="8"/>
      <c r="D23" s="7"/>
      <c r="E23" s="20" t="s">
        <v>77</v>
      </c>
      <c r="F23" s="93">
        <v>50.1</v>
      </c>
      <c r="G23" s="93">
        <v>49.7</v>
      </c>
      <c r="H23" s="93"/>
      <c r="I23" s="93">
        <v>48.3</v>
      </c>
      <c r="J23" s="93">
        <v>47.5</v>
      </c>
      <c r="K23" s="93"/>
      <c r="L23" s="93">
        <v>45.3</v>
      </c>
      <c r="M23" s="93">
        <v>48</v>
      </c>
      <c r="N23" s="93"/>
      <c r="O23" s="93"/>
      <c r="P23" s="93">
        <v>46</v>
      </c>
      <c r="Q23" s="93">
        <v>43.8</v>
      </c>
      <c r="R23" s="93">
        <v>46.5</v>
      </c>
      <c r="S23" s="93">
        <v>46.7</v>
      </c>
      <c r="T23" s="93">
        <v>45</v>
      </c>
      <c r="U23" s="93">
        <v>45.7</v>
      </c>
      <c r="V23" s="93">
        <v>41.9</v>
      </c>
      <c r="W23" s="93">
        <v>40.200000000000003</v>
      </c>
      <c r="X23" s="93">
        <v>39.799999999999997</v>
      </c>
      <c r="Y23" s="93"/>
      <c r="Z23" s="93"/>
      <c r="AA23" s="7"/>
      <c r="AB23" s="3"/>
      <c r="AC23" s="6"/>
      <c r="AD23" s="3"/>
      <c r="AE23" s="3"/>
      <c r="AF23" s="3"/>
      <c r="AG23" s="3"/>
      <c r="AH23" s="3"/>
    </row>
    <row r="24" spans="1:34" s="15" customFormat="1" x14ac:dyDescent="0.2">
      <c r="A24" s="3"/>
      <c r="B24" s="3"/>
      <c r="C24" s="8"/>
      <c r="D24" s="7"/>
      <c r="E24" s="20" t="s">
        <v>210</v>
      </c>
      <c r="F24" s="93">
        <v>1</v>
      </c>
      <c r="G24" s="93"/>
      <c r="H24" s="93"/>
      <c r="I24" s="93"/>
      <c r="J24" s="93"/>
      <c r="K24" s="93"/>
      <c r="L24" s="93"/>
      <c r="M24" s="93"/>
      <c r="N24" s="93"/>
      <c r="O24" s="93"/>
      <c r="P24" s="93"/>
      <c r="Q24" s="93"/>
      <c r="R24" s="93"/>
      <c r="S24" s="93"/>
      <c r="T24" s="93"/>
      <c r="U24" s="93"/>
      <c r="V24" s="93"/>
      <c r="W24" s="93"/>
      <c r="X24" s="93"/>
      <c r="Y24" s="93"/>
      <c r="Z24" s="93"/>
      <c r="AA24" s="7"/>
      <c r="AB24" s="3"/>
      <c r="AC24" s="6"/>
      <c r="AD24" s="3"/>
      <c r="AE24" s="3"/>
      <c r="AF24" s="3"/>
      <c r="AG24" s="3"/>
      <c r="AH24" s="3"/>
    </row>
    <row r="25" spans="1:34" s="15" customFormat="1" ht="15.75" thickBot="1" x14ac:dyDescent="0.25">
      <c r="A25" s="3"/>
      <c r="B25" s="3"/>
      <c r="C25" s="85"/>
      <c r="D25" s="80"/>
      <c r="E25" s="120" t="s">
        <v>78</v>
      </c>
      <c r="F25" s="86">
        <v>1</v>
      </c>
      <c r="G25" s="86">
        <v>1</v>
      </c>
      <c r="H25" s="86"/>
      <c r="I25" s="86">
        <v>1</v>
      </c>
      <c r="J25" s="86">
        <v>1</v>
      </c>
      <c r="K25" s="86"/>
      <c r="L25" s="86">
        <v>1</v>
      </c>
      <c r="M25" s="86">
        <v>1</v>
      </c>
      <c r="N25" s="86"/>
      <c r="O25" s="86"/>
      <c r="P25" s="86">
        <v>1</v>
      </c>
      <c r="Q25" s="86">
        <v>1</v>
      </c>
      <c r="R25" s="86"/>
      <c r="S25" s="86"/>
      <c r="T25" s="86"/>
      <c r="U25" s="86"/>
      <c r="V25" s="86"/>
      <c r="W25" s="86"/>
      <c r="X25" s="86"/>
      <c r="Y25" s="86"/>
      <c r="Z25" s="86"/>
      <c r="AA25" s="7"/>
      <c r="AB25" s="3"/>
      <c r="AC25" s="6"/>
      <c r="AD25" s="3"/>
      <c r="AE25" s="3"/>
      <c r="AF25" s="3"/>
      <c r="AG25" s="3"/>
      <c r="AH25" s="3"/>
    </row>
    <row r="26" spans="1:34" s="15" customFormat="1" ht="15" customHeight="1" x14ac:dyDescent="0.2">
      <c r="A26" s="3"/>
      <c r="B26" s="3"/>
      <c r="C26" s="269" t="s">
        <v>211</v>
      </c>
      <c r="D26" s="8"/>
      <c r="E26" s="20" t="s">
        <v>203</v>
      </c>
      <c r="F26" s="220" t="str">
        <f>IF(ISNUMBER(F28),F23-$F$55,"")</f>
        <v/>
      </c>
      <c r="G26" s="220">
        <f>IF(ISNUMBER(G28),G23-$F$55,"")</f>
        <v>-0.39999999999999858</v>
      </c>
      <c r="H26" s="220" t="str">
        <f t="shared" ref="H26:K26" si="1">IF(ISNUMBER(H28),H23-$F$55,"")</f>
        <v/>
      </c>
      <c r="I26" s="220">
        <f t="shared" si="1"/>
        <v>-1.8000000000000043</v>
      </c>
      <c r="J26" s="220">
        <f t="shared" si="1"/>
        <v>-2.6000000000000014</v>
      </c>
      <c r="K26" s="220" t="str">
        <f t="shared" si="1"/>
        <v/>
      </c>
      <c r="L26" s="220">
        <f t="shared" ref="L26:Z26" si="2">IF(ISNUMBER(L28),L23-$F$55,"")</f>
        <v>-4.8000000000000043</v>
      </c>
      <c r="M26" s="220">
        <f t="shared" si="2"/>
        <v>-2.1000000000000014</v>
      </c>
      <c r="N26" s="220" t="str">
        <f t="shared" si="2"/>
        <v/>
      </c>
      <c r="O26" s="220" t="str">
        <f t="shared" si="2"/>
        <v/>
      </c>
      <c r="P26" s="220">
        <f t="shared" si="2"/>
        <v>-4.1000000000000014</v>
      </c>
      <c r="Q26" s="220">
        <f t="shared" si="2"/>
        <v>-6.3000000000000043</v>
      </c>
      <c r="R26" s="220">
        <f t="shared" si="2"/>
        <v>-3.6000000000000014</v>
      </c>
      <c r="S26" s="220">
        <f t="shared" si="2"/>
        <v>-3.3999999999999986</v>
      </c>
      <c r="T26" s="220">
        <f t="shared" si="2"/>
        <v>-5.1000000000000014</v>
      </c>
      <c r="U26" s="220">
        <f t="shared" si="2"/>
        <v>-4.3999999999999986</v>
      </c>
      <c r="V26" s="220">
        <f t="shared" si="2"/>
        <v>-8.2000000000000028</v>
      </c>
      <c r="W26" s="220">
        <f t="shared" si="2"/>
        <v>-9.8999999999999986</v>
      </c>
      <c r="X26" s="220">
        <f t="shared" si="2"/>
        <v>-10.300000000000004</v>
      </c>
      <c r="Y26" s="220" t="str">
        <f t="shared" si="2"/>
        <v/>
      </c>
      <c r="Z26" s="220" t="str">
        <f t="shared" si="2"/>
        <v/>
      </c>
      <c r="AA26" s="7"/>
      <c r="AB26" s="7"/>
      <c r="AC26" s="7"/>
      <c r="AD26" s="7"/>
      <c r="AE26" s="7"/>
      <c r="AF26" s="7"/>
      <c r="AG26" s="7"/>
      <c r="AH26" s="7"/>
    </row>
    <row r="27" spans="1:34" s="15" customFormat="1" x14ac:dyDescent="0.2">
      <c r="A27" s="3"/>
      <c r="B27" s="3"/>
      <c r="C27" s="269"/>
      <c r="D27" s="32"/>
      <c r="E27" s="33" t="s">
        <v>204</v>
      </c>
      <c r="F27" s="150" t="str">
        <f>IF(ISNUMBER(F28),F26/$F$55*100,"")</f>
        <v/>
      </c>
      <c r="G27" s="150">
        <f>IF(ISNUMBER(G28),G26/$F$55*100,"")</f>
        <v>-0.79840319361277157</v>
      </c>
      <c r="H27" s="150" t="str">
        <f t="shared" ref="H27:K27" si="3">IF(ISNUMBER(H28),H26/$F$55*100,"")</f>
        <v/>
      </c>
      <c r="I27" s="150">
        <f t="shared" si="3"/>
        <v>-3.5928143712574934</v>
      </c>
      <c r="J27" s="150">
        <f t="shared" si="3"/>
        <v>-5.1896207584830361</v>
      </c>
      <c r="K27" s="150" t="str">
        <f t="shared" si="3"/>
        <v/>
      </c>
      <c r="L27" s="150">
        <f t="shared" ref="L27" si="4">IF(ISNUMBER(L28),L26/$F$55*100,"")</f>
        <v>-9.5808383233533014</v>
      </c>
      <c r="M27" s="150">
        <f t="shared" ref="M27" si="5">IF(ISNUMBER(M28),M26/$F$55*100,"")</f>
        <v>-4.1916167664670683</v>
      </c>
      <c r="N27" s="150" t="str">
        <f t="shared" ref="N27:O27" si="6">IF(ISNUMBER(N28),N26/$F$55*100,"")</f>
        <v/>
      </c>
      <c r="O27" s="150" t="str">
        <f t="shared" si="6"/>
        <v/>
      </c>
      <c r="P27" s="150">
        <f t="shared" ref="P27" si="7">IF(ISNUMBER(P28),P26/$F$55*100,"")</f>
        <v>-8.1836327345309403</v>
      </c>
      <c r="Q27" s="150">
        <f t="shared" ref="Q27" si="8">IF(ISNUMBER(Q28),Q26/$F$55*100,"")</f>
        <v>-12.574850299401206</v>
      </c>
      <c r="R27" s="150">
        <f t="shared" ref="R27:S27" si="9">IF(ISNUMBER(R28),R26/$F$55*100,"")</f>
        <v>-7.1856287425149725</v>
      </c>
      <c r="S27" s="150">
        <f t="shared" si="9"/>
        <v>-6.7864271457085801</v>
      </c>
      <c r="T27" s="150">
        <f t="shared" ref="T27" si="10">IF(ISNUMBER(T28),T26/$F$55*100,"")</f>
        <v>-10.179640718562876</v>
      </c>
      <c r="U27" s="150">
        <f t="shared" ref="U27" si="11">IF(ISNUMBER(U28),U26/$F$55*100,"")</f>
        <v>-8.7824351297405165</v>
      </c>
      <c r="V27" s="150">
        <f t="shared" ref="V27:W27" si="12">IF(ISNUMBER(V28),V26/$F$55*100,"")</f>
        <v>-16.367265469061881</v>
      </c>
      <c r="W27" s="150">
        <f t="shared" si="12"/>
        <v>-19.760479041916167</v>
      </c>
      <c r="X27" s="150">
        <f t="shared" ref="X27" si="13">IF(ISNUMBER(X28),X26/$F$55*100,"")</f>
        <v>-20.558882235528948</v>
      </c>
      <c r="Y27" s="150" t="str">
        <f t="shared" ref="Y27" si="14">IF(ISNUMBER(Y28),Y26/$F$55*100,"")</f>
        <v/>
      </c>
      <c r="Z27" s="150" t="str">
        <f t="shared" ref="Z27" si="15">IF(ISNUMBER(Z28),Z26/$F$55*100,"")</f>
        <v/>
      </c>
      <c r="AA27" s="7"/>
      <c r="AB27" s="7"/>
      <c r="AC27" s="7"/>
      <c r="AD27" s="7"/>
      <c r="AE27" s="7"/>
      <c r="AF27" s="7"/>
      <c r="AG27" s="7"/>
      <c r="AH27" s="7"/>
    </row>
    <row r="28" spans="1:34" s="15" customFormat="1" ht="15" customHeight="1" x14ac:dyDescent="0.2">
      <c r="A28" s="3"/>
      <c r="B28" s="3"/>
      <c r="C28" s="269"/>
      <c r="D28" s="30"/>
      <c r="E28" s="31" t="s">
        <v>22</v>
      </c>
      <c r="F28" s="13" t="str">
        <f t="shared" ref="F28" si="16">IF(AND(ISNUMBER($F$55),ISNUMBER(F23),ISBLANK(F24)),100*_xlfn.T.DIST((F23-$F$55-($E$16*ISNUMBER($E$16)+$E$17*ISNUMBER($E$17)*$F$55/100))/SQRT(F60^2+$F$56^2),IF(ISBLANK($E$15),$F72-2,$E$15),1),"")</f>
        <v/>
      </c>
      <c r="G28" s="13">
        <f>IF(AND(ISNUMBER($F$55),ISNUMBER(G23),ISBLANK(G24)),100*_xlfn.T.DIST((G23-$F$55-($E$16*ISNUMBER($E$16)+$E$17*ISNUMBER($E$17)*$F$55/100))/SQRT(G60^2+$F$56^2),IF(ISBLANK($E$15),$F72-2,$E$15),1),"")</f>
        <v>22.234159650298785</v>
      </c>
      <c r="H28" s="13" t="str">
        <f t="shared" ref="H28:Z28" si="17">IF(AND(ISNUMBER($F$55),ISNUMBER(H23),ISBLANK(H24)),100*_xlfn.T.DIST((H23-$F$55-($E$16*ISNUMBER($E$16)+$E$17*ISNUMBER($E$17)*$F$55/100))/SQRT(H60^2+$F$56^2),IF(ISBLANK($E$15),$F72-2,$E$15),1),"")</f>
        <v/>
      </c>
      <c r="I28" s="13">
        <f t="shared" si="17"/>
        <v>8.0026848339160939</v>
      </c>
      <c r="J28" s="13">
        <f t="shared" si="17"/>
        <v>3.9213206813431052</v>
      </c>
      <c r="K28" s="13" t="str">
        <f t="shared" si="17"/>
        <v/>
      </c>
      <c r="L28" s="13">
        <f t="shared" si="17"/>
        <v>0.37885350824953617</v>
      </c>
      <c r="M28" s="13">
        <f t="shared" si="17"/>
        <v>6.1875115887278733</v>
      </c>
      <c r="N28" s="13" t="str">
        <f t="shared" si="17"/>
        <v/>
      </c>
      <c r="O28" s="13" t="str">
        <f t="shared" si="17"/>
        <v/>
      </c>
      <c r="P28" s="13">
        <f t="shared" si="17"/>
        <v>0.83673071938181864</v>
      </c>
      <c r="Q28" s="13">
        <f t="shared" si="17"/>
        <v>6.287250557688169E-2</v>
      </c>
      <c r="R28" s="13">
        <f t="shared" si="17"/>
        <v>1.4371449915916812</v>
      </c>
      <c r="S28" s="13">
        <f t="shared" si="17"/>
        <v>1.7722657042938346</v>
      </c>
      <c r="T28" s="13">
        <f t="shared" si="17"/>
        <v>0.26696240661129761</v>
      </c>
      <c r="U28" s="13">
        <f t="shared" si="17"/>
        <v>0.59853648835157536</v>
      </c>
      <c r="V28" s="13">
        <f t="shared" si="17"/>
        <v>5.8923944957435786E-3</v>
      </c>
      <c r="W28" s="13">
        <f t="shared" si="17"/>
        <v>7.069967815555953E-4</v>
      </c>
      <c r="X28" s="13">
        <f t="shared" si="17"/>
        <v>4.318099711394467E-4</v>
      </c>
      <c r="Y28" s="13" t="str">
        <f t="shared" si="17"/>
        <v/>
      </c>
      <c r="Z28" s="13" t="str">
        <f t="shared" si="17"/>
        <v/>
      </c>
      <c r="AA28" s="7"/>
      <c r="AB28" s="7"/>
      <c r="AC28" s="7"/>
      <c r="AD28" s="7"/>
      <c r="AE28" s="7"/>
      <c r="AF28" s="7"/>
      <c r="AG28" s="7"/>
      <c r="AH28" s="7"/>
    </row>
    <row r="29" spans="1:34" s="15" customFormat="1" x14ac:dyDescent="0.2">
      <c r="A29" s="3"/>
      <c r="B29" s="3"/>
      <c r="C29" s="269"/>
      <c r="D29" s="8"/>
      <c r="E29" s="20" t="s">
        <v>23</v>
      </c>
      <c r="F29" s="13" t="str">
        <f t="shared" ref="F29" si="18">IF(ISNUMBER(F28),100-F28-F30,"")</f>
        <v/>
      </c>
      <c r="G29" s="13">
        <f>IF(ISNUMBER(G28),100-G28-G30,"")</f>
        <v>43.181723474568713</v>
      </c>
      <c r="H29" s="13" t="str">
        <f t="shared" ref="H29:Z29" si="19">IF(ISNUMBER(H28),100-H28-H30,"")</f>
        <v/>
      </c>
      <c r="I29" s="13">
        <f t="shared" si="19"/>
        <v>31.794987563489769</v>
      </c>
      <c r="J29" s="13">
        <f t="shared" si="19"/>
        <v>22.233219246962932</v>
      </c>
      <c r="K29" s="13" t="str">
        <f t="shared" si="19"/>
        <v/>
      </c>
      <c r="L29" s="13">
        <f t="shared" si="19"/>
        <v>4.4272863902911439</v>
      </c>
      <c r="M29" s="13">
        <f t="shared" si="19"/>
        <v>28.234543064809017</v>
      </c>
      <c r="N29" s="13" t="str">
        <f t="shared" si="19"/>
        <v/>
      </c>
      <c r="O29" s="13" t="str">
        <f t="shared" si="19"/>
        <v/>
      </c>
      <c r="P29" s="13">
        <f t="shared" si="19"/>
        <v>8.110940836324346</v>
      </c>
      <c r="Q29" s="13">
        <f t="shared" si="19"/>
        <v>0.96107790156756323</v>
      </c>
      <c r="R29" s="13">
        <f t="shared" si="19"/>
        <v>11.888767853890386</v>
      </c>
      <c r="S29" s="13">
        <f t="shared" si="19"/>
        <v>13.680907589212893</v>
      </c>
      <c r="T29" s="13">
        <f t="shared" si="19"/>
        <v>3.3383450722140111</v>
      </c>
      <c r="U29" s="13">
        <f t="shared" si="19"/>
        <v>6.3173987903311826</v>
      </c>
      <c r="V29" s="13">
        <f t="shared" si="19"/>
        <v>0.10204076262886019</v>
      </c>
      <c r="W29" s="13">
        <f t="shared" si="19"/>
        <v>1.1905701455560802E-2</v>
      </c>
      <c r="X29" s="13">
        <f t="shared" si="19"/>
        <v>7.1327642097429589E-3</v>
      </c>
      <c r="Y29" s="13" t="str">
        <f t="shared" si="19"/>
        <v/>
      </c>
      <c r="Z29" s="13" t="str">
        <f t="shared" si="19"/>
        <v/>
      </c>
      <c r="AA29" s="7"/>
      <c r="AB29" s="7"/>
      <c r="AC29" s="7"/>
      <c r="AD29" s="7"/>
      <c r="AE29" s="7"/>
      <c r="AF29" s="7"/>
      <c r="AG29" s="7"/>
      <c r="AH29" s="7"/>
    </row>
    <row r="30" spans="1:34" s="15" customFormat="1" x14ac:dyDescent="0.2">
      <c r="A30" s="3"/>
      <c r="B30" s="3"/>
      <c r="C30" s="269"/>
      <c r="D30" s="8"/>
      <c r="E30" s="20" t="s">
        <v>24</v>
      </c>
      <c r="F30" s="29" t="str">
        <f t="shared" ref="F30" si="20">IF(AND(ISNUMBER($F$55),ISNUMBER(F23),ISBLANK(F24)),100*_xlfn.T.DIST(($F$55-F23-($E$16*ISNUMBER($E$16)+$E$17*ISNUMBER($E$17)*$F$55/100))/SQRT(F60^2+$F$56^2),IF(ISBLANK($E$15),$F72-2,$E$15),1),"")</f>
        <v/>
      </c>
      <c r="G30" s="29">
        <f>IF(AND(ISNUMBER($F$55),ISNUMBER(G23),ISBLANK(G24)),100*_xlfn.T.DIST(($F$55-G23-($E$16*ISNUMBER($E$16)+$E$17*ISNUMBER($E$17)*$F$55/100))/SQRT(G60^2+$F$56^2),IF(ISBLANK($E$15),$F72-2,$E$15),1),"")</f>
        <v>34.584116875132509</v>
      </c>
      <c r="H30" s="29" t="str">
        <f t="shared" ref="H30:Z30" si="21">IF(AND(ISNUMBER($F$55),ISNUMBER(H23),ISBLANK(H24)),100*_xlfn.T.DIST(($F$55-H23-($E$16*ISNUMBER($E$16)+$E$17*ISNUMBER($E$17)*$F$55/100))/SQRT(H60^2+$F$56^2),IF(ISBLANK($E$15),$F72-2,$E$15),1),"")</f>
        <v/>
      </c>
      <c r="I30" s="29">
        <f t="shared" si="21"/>
        <v>60.202327602594139</v>
      </c>
      <c r="J30" s="29">
        <f t="shared" si="21"/>
        <v>73.845460071693964</v>
      </c>
      <c r="K30" s="29" t="str">
        <f t="shared" si="21"/>
        <v/>
      </c>
      <c r="L30" s="29">
        <f t="shared" si="21"/>
        <v>95.193860101459322</v>
      </c>
      <c r="M30" s="29">
        <f t="shared" si="21"/>
        <v>65.57794534646311</v>
      </c>
      <c r="N30" s="29" t="str">
        <f t="shared" si="21"/>
        <v/>
      </c>
      <c r="O30" s="29" t="str">
        <f t="shared" si="21"/>
        <v/>
      </c>
      <c r="P30" s="29">
        <f t="shared" si="21"/>
        <v>91.052328444293835</v>
      </c>
      <c r="Q30" s="29">
        <f t="shared" si="21"/>
        <v>98.97604959285556</v>
      </c>
      <c r="R30" s="29">
        <f t="shared" si="21"/>
        <v>86.674087154517935</v>
      </c>
      <c r="S30" s="29">
        <f t="shared" si="21"/>
        <v>84.546826706493277</v>
      </c>
      <c r="T30" s="29">
        <f t="shared" si="21"/>
        <v>96.39469252117469</v>
      </c>
      <c r="U30" s="29">
        <f t="shared" si="21"/>
        <v>93.084064721317247</v>
      </c>
      <c r="V30" s="29">
        <f t="shared" si="21"/>
        <v>99.892066842875394</v>
      </c>
      <c r="W30" s="29">
        <f t="shared" si="21"/>
        <v>99.98738730176288</v>
      </c>
      <c r="X30" s="29">
        <f t="shared" si="21"/>
        <v>99.992435425819124</v>
      </c>
      <c r="Y30" s="29" t="str">
        <f t="shared" si="21"/>
        <v/>
      </c>
      <c r="Z30" s="29" t="str">
        <f t="shared" si="21"/>
        <v/>
      </c>
      <c r="AA30" s="7"/>
      <c r="AB30" s="7"/>
      <c r="AC30" s="7"/>
      <c r="AD30" s="7"/>
      <c r="AE30" s="7"/>
      <c r="AF30" s="7"/>
      <c r="AG30" s="7"/>
      <c r="AH30" s="7"/>
    </row>
    <row r="31" spans="1:34" s="15" customFormat="1" ht="15.75" thickBot="1" x14ac:dyDescent="0.25">
      <c r="A31" s="3"/>
      <c r="B31" s="3"/>
      <c r="C31" s="270"/>
      <c r="D31" s="85"/>
      <c r="E31" s="120" t="s">
        <v>8</v>
      </c>
      <c r="F31" s="81" t="str">
        <f t="shared" ref="F31" si="22">IF(ISNUMBER(F28),IF(AND(F28&gt;$E$6,F30&gt;$E$6),"?",(IF(F28&gt;$E$6,"­"&amp;IF(F28&gt;100-$E$6,"*",""),""))&amp;(IF(F29&gt;$E$6,"«"&amp;IF(F29&gt;100-$E$6,"*",""),""))&amp;(IF(F30&gt;$E$6,"¯"&amp;IF(F30&gt;100-$E$6,"*",""),""))),"")</f>
        <v/>
      </c>
      <c r="G31" s="81" t="str">
        <f t="shared" ref="G31:Z31" si="23">IF(ISNUMBER(G28),IF(AND(G28&gt;$E$6,G30&gt;$E$6),"?",(IF(G28&gt;$E$6,"­"&amp;IF(G28&gt;100-$E$6,"*",""),""))&amp;(IF(G29&gt;$E$6,"«"&amp;IF(G29&gt;100-$E$6,"*",""),""))&amp;(IF(G30&gt;$E$6,"¯"&amp;IF(G30&gt;100-$E$6,"*",""),""))),"")</f>
        <v>?</v>
      </c>
      <c r="H31" s="81" t="str">
        <f t="shared" si="23"/>
        <v/>
      </c>
      <c r="I31" s="81" t="str">
        <f t="shared" si="23"/>
        <v>«¯</v>
      </c>
      <c r="J31" s="81" t="str">
        <f t="shared" si="23"/>
        <v>«¯</v>
      </c>
      <c r="K31" s="81" t="str">
        <f t="shared" si="23"/>
        <v/>
      </c>
      <c r="L31" s="81" t="str">
        <f t="shared" si="23"/>
        <v>¯*</v>
      </c>
      <c r="M31" s="81" t="str">
        <f t="shared" si="23"/>
        <v>«¯</v>
      </c>
      <c r="N31" s="81" t="str">
        <f t="shared" si="23"/>
        <v/>
      </c>
      <c r="O31" s="81" t="str">
        <f t="shared" si="23"/>
        <v/>
      </c>
      <c r="P31" s="81" t="str">
        <f t="shared" si="23"/>
        <v>¯*</v>
      </c>
      <c r="Q31" s="81" t="str">
        <f t="shared" si="23"/>
        <v>¯*</v>
      </c>
      <c r="R31" s="81" t="str">
        <f t="shared" si="23"/>
        <v>«¯</v>
      </c>
      <c r="S31" s="81" t="str">
        <f t="shared" si="23"/>
        <v>«¯</v>
      </c>
      <c r="T31" s="81" t="str">
        <f t="shared" si="23"/>
        <v>¯*</v>
      </c>
      <c r="U31" s="81" t="str">
        <f t="shared" si="23"/>
        <v>¯*</v>
      </c>
      <c r="V31" s="81" t="str">
        <f t="shared" si="23"/>
        <v>¯*</v>
      </c>
      <c r="W31" s="81" t="str">
        <f t="shared" si="23"/>
        <v>¯*</v>
      </c>
      <c r="X31" s="81" t="str">
        <f t="shared" si="23"/>
        <v>¯*</v>
      </c>
      <c r="Y31" s="81" t="str">
        <f t="shared" si="23"/>
        <v/>
      </c>
      <c r="Z31" s="81" t="str">
        <f t="shared" si="23"/>
        <v/>
      </c>
      <c r="AA31" s="7"/>
      <c r="AB31" s="7"/>
      <c r="AC31" s="7"/>
      <c r="AD31" s="7"/>
      <c r="AE31" s="7"/>
      <c r="AF31" s="7"/>
      <c r="AG31" s="7"/>
      <c r="AH31" s="7"/>
    </row>
    <row r="32" spans="1:34" s="15" customFormat="1" ht="14.1" customHeight="1" x14ac:dyDescent="0.2">
      <c r="A32" s="3"/>
      <c r="B32" s="3"/>
      <c r="C32" s="269" t="s">
        <v>205</v>
      </c>
      <c r="D32" s="8"/>
      <c r="E32" s="20" t="s">
        <v>203</v>
      </c>
      <c r="F32" s="44"/>
      <c r="G32" s="220">
        <f t="shared" ref="G32:Z32" ca="1" si="24">IF(ISNUMBER(G34),G23-OFFSET(G23,0,-1),"")</f>
        <v>-0.39999999999999858</v>
      </c>
      <c r="H32" s="220" t="str">
        <f t="shared" ca="1" si="24"/>
        <v/>
      </c>
      <c r="I32" s="220" t="str">
        <f t="shared" ca="1" si="24"/>
        <v/>
      </c>
      <c r="J32" s="220">
        <f t="shared" ca="1" si="24"/>
        <v>-0.79999999999999716</v>
      </c>
      <c r="K32" s="220" t="str">
        <f t="shared" ca="1" si="24"/>
        <v/>
      </c>
      <c r="L32" s="220" t="str">
        <f t="shared" ca="1" si="24"/>
        <v/>
      </c>
      <c r="M32" s="220">
        <f t="shared" ca="1" si="24"/>
        <v>2.7000000000000028</v>
      </c>
      <c r="N32" s="220" t="str">
        <f t="shared" ca="1" si="24"/>
        <v/>
      </c>
      <c r="O32" s="220" t="str">
        <f t="shared" ca="1" si="24"/>
        <v/>
      </c>
      <c r="P32" s="220" t="str">
        <f t="shared" ca="1" si="24"/>
        <v/>
      </c>
      <c r="Q32" s="220">
        <f t="shared" ca="1" si="24"/>
        <v>-2.2000000000000028</v>
      </c>
      <c r="R32" s="220">
        <f t="shared" ca="1" si="24"/>
        <v>2.7000000000000028</v>
      </c>
      <c r="S32" s="220">
        <f t="shared" ca="1" si="24"/>
        <v>0.20000000000000284</v>
      </c>
      <c r="T32" s="220">
        <f t="shared" ca="1" si="24"/>
        <v>-1.7000000000000028</v>
      </c>
      <c r="U32" s="220">
        <f t="shared" ca="1" si="24"/>
        <v>0.70000000000000284</v>
      </c>
      <c r="V32" s="220">
        <f t="shared" ca="1" si="24"/>
        <v>-3.8000000000000043</v>
      </c>
      <c r="W32" s="220">
        <f t="shared" ca="1" si="24"/>
        <v>-1.6999999999999957</v>
      </c>
      <c r="X32" s="220">
        <f t="shared" ca="1" si="24"/>
        <v>-0.40000000000000568</v>
      </c>
      <c r="Y32" s="220" t="str">
        <f t="shared" ca="1" si="24"/>
        <v/>
      </c>
      <c r="Z32" s="220" t="str">
        <f t="shared" ca="1" si="24"/>
        <v/>
      </c>
      <c r="AA32" s="7"/>
      <c r="AB32" s="3"/>
      <c r="AC32" s="6"/>
      <c r="AD32" s="3"/>
      <c r="AE32" s="3"/>
      <c r="AF32" s="3"/>
      <c r="AG32" s="3"/>
      <c r="AH32" s="3"/>
    </row>
    <row r="33" spans="1:34" s="15" customFormat="1" x14ac:dyDescent="0.2">
      <c r="A33" s="3"/>
      <c r="B33" s="3"/>
      <c r="C33" s="269"/>
      <c r="D33" s="32"/>
      <c r="E33" s="33" t="s">
        <v>204</v>
      </c>
      <c r="F33" s="224"/>
      <c r="G33" s="150">
        <f t="shared" ref="G33:Z33" ca="1" si="25">IF(ISNUMBER(G34),G32/OFFSET(G23,0,-1)*100,"")</f>
        <v>-0.79840319361277157</v>
      </c>
      <c r="H33" s="150" t="str">
        <f t="shared" ca="1" si="25"/>
        <v/>
      </c>
      <c r="I33" s="150" t="str">
        <f t="shared" ca="1" si="25"/>
        <v/>
      </c>
      <c r="J33" s="150">
        <f t="shared" ca="1" si="25"/>
        <v>-1.656314699792955</v>
      </c>
      <c r="K33" s="150" t="str">
        <f t="shared" ca="1" si="25"/>
        <v/>
      </c>
      <c r="L33" s="150" t="str">
        <f t="shared" ca="1" si="25"/>
        <v/>
      </c>
      <c r="M33" s="150">
        <f t="shared" ca="1" si="25"/>
        <v>5.9602649006622581</v>
      </c>
      <c r="N33" s="150" t="str">
        <f t="shared" ca="1" si="25"/>
        <v/>
      </c>
      <c r="O33" s="150" t="str">
        <f t="shared" ca="1" si="25"/>
        <v/>
      </c>
      <c r="P33" s="150" t="str">
        <f t="shared" ca="1" si="25"/>
        <v/>
      </c>
      <c r="Q33" s="150">
        <f t="shared" ca="1" si="25"/>
        <v>-4.7826086956521801</v>
      </c>
      <c r="R33" s="150">
        <f t="shared" ca="1" si="25"/>
        <v>6.1643835616438425</v>
      </c>
      <c r="S33" s="150">
        <f t="shared" ca="1" si="25"/>
        <v>0.43010752688172649</v>
      </c>
      <c r="T33" s="150">
        <f t="shared" ca="1" si="25"/>
        <v>-3.6402569593147813</v>
      </c>
      <c r="U33" s="150">
        <f t="shared" ca="1" si="25"/>
        <v>1.555555555555562</v>
      </c>
      <c r="V33" s="150">
        <f t="shared" ca="1" si="25"/>
        <v>-8.3150984682713442</v>
      </c>
      <c r="W33" s="150">
        <f t="shared" ca="1" si="25"/>
        <v>-4.0572792362768393</v>
      </c>
      <c r="X33" s="150">
        <f t="shared" ca="1" si="25"/>
        <v>-0.99502487562190456</v>
      </c>
      <c r="Y33" s="150" t="str">
        <f t="shared" ca="1" si="25"/>
        <v/>
      </c>
      <c r="Z33" s="150" t="str">
        <f t="shared" ca="1" si="25"/>
        <v/>
      </c>
      <c r="AA33" s="7"/>
      <c r="AB33" s="3"/>
      <c r="AC33" s="6"/>
      <c r="AD33" s="3"/>
      <c r="AE33" s="3"/>
      <c r="AF33" s="3"/>
      <c r="AG33" s="3"/>
      <c r="AH33" s="3"/>
    </row>
    <row r="34" spans="1:34" s="15" customFormat="1" x14ac:dyDescent="0.2">
      <c r="A34" s="3"/>
      <c r="B34" s="3"/>
      <c r="C34" s="269"/>
      <c r="D34" s="30"/>
      <c r="E34" s="31" t="s">
        <v>22</v>
      </c>
      <c r="F34" s="222" t="str">
        <f t="shared" ref="F34:Z34" ca="1" si="26">IF(AND(ISNUMBER(OFFSET(F23,0,-1)),ISNUMBER(F23)),100*_xlfn.T.DIST((F23-OFFSET(F23,0,-1)-($E$16*ISNUMBER($E$16)+$E$17*ISNUMBER($E$17)*OFFSET(F23,0,-1)/100))/SQRT(F60^2+OFFSET(F60,0,-1)^2),IF(ISBLANK($E$15),$F72-2,$E$15),1),"")</f>
        <v/>
      </c>
      <c r="G34" s="13">
        <f t="shared" ca="1" si="26"/>
        <v>22.234159650298785</v>
      </c>
      <c r="H34" s="13" t="str">
        <f t="shared" ca="1" si="26"/>
        <v/>
      </c>
      <c r="I34" s="13" t="str">
        <f t="shared" ca="1" si="26"/>
        <v/>
      </c>
      <c r="J34" s="13">
        <f t="shared" ca="1" si="26"/>
        <v>16.783219012379973</v>
      </c>
      <c r="K34" s="13" t="str">
        <f t="shared" ca="1" si="26"/>
        <v/>
      </c>
      <c r="L34" s="13" t="str">
        <f t="shared" ca="1" si="26"/>
        <v/>
      </c>
      <c r="M34" s="13">
        <f t="shared" ca="1" si="26"/>
        <v>78.083394747122426</v>
      </c>
      <c r="N34" s="13" t="str">
        <f t="shared" ca="1" si="26"/>
        <v/>
      </c>
      <c r="O34" s="13" t="str">
        <f t="shared" ca="1" si="26"/>
        <v/>
      </c>
      <c r="P34" s="13" t="str">
        <f t="shared" ca="1" si="26"/>
        <v/>
      </c>
      <c r="Q34" s="13">
        <f t="shared" ca="1" si="26"/>
        <v>4.7418797499689402</v>
      </c>
      <c r="R34" s="13">
        <f t="shared" ca="1" si="26"/>
        <v>79.363970109103704</v>
      </c>
      <c r="S34" s="13">
        <f t="shared" ca="1" si="26"/>
        <v>31.597363399471046</v>
      </c>
      <c r="T34" s="13">
        <f t="shared" ca="1" si="26"/>
        <v>7.8448982200001556</v>
      </c>
      <c r="U34" s="13">
        <f t="shared" ca="1" si="26"/>
        <v>41.37698924086969</v>
      </c>
      <c r="V34" s="13">
        <f t="shared" ca="1" si="26"/>
        <v>0.77788779076145009</v>
      </c>
      <c r="W34" s="13">
        <f t="shared" ca="1" si="26"/>
        <v>6.5623460474341018</v>
      </c>
      <c r="X34" s="13">
        <f t="shared" ca="1" si="26"/>
        <v>20.900433914193407</v>
      </c>
      <c r="Y34" s="13" t="str">
        <f t="shared" ca="1" si="26"/>
        <v/>
      </c>
      <c r="Z34" s="13" t="str">
        <f t="shared" ca="1" si="26"/>
        <v/>
      </c>
      <c r="AA34" s="7"/>
      <c r="AB34" s="3"/>
      <c r="AC34" s="6"/>
      <c r="AD34" s="3"/>
      <c r="AE34" s="3"/>
      <c r="AF34" s="3"/>
      <c r="AG34" s="3"/>
      <c r="AH34" s="3"/>
    </row>
    <row r="35" spans="1:34" s="15" customFormat="1" x14ac:dyDescent="0.2">
      <c r="A35" s="3"/>
      <c r="B35" s="3"/>
      <c r="C35" s="269"/>
      <c r="D35" s="8"/>
      <c r="E35" s="20" t="s">
        <v>23</v>
      </c>
      <c r="F35" s="222" t="str">
        <f t="shared" ref="F35:Z35" ca="1" si="27">IF(AND(ISNUMBER(OFFSET(F23,0,-1)),ISNUMBER(F23)),100-F34-F36,"")</f>
        <v/>
      </c>
      <c r="G35" s="13">
        <f t="shared" ca="1" si="27"/>
        <v>43.181723474568713</v>
      </c>
      <c r="H35" s="13" t="str">
        <f t="shared" ca="1" si="27"/>
        <v/>
      </c>
      <c r="I35" s="13" t="str">
        <f t="shared" ca="1" si="27"/>
        <v/>
      </c>
      <c r="J35" s="13">
        <f t="shared" ca="1" si="27"/>
        <v>41.056242785290308</v>
      </c>
      <c r="K35" s="13" t="str">
        <f t="shared" ca="1" si="27"/>
        <v/>
      </c>
      <c r="L35" s="13" t="str">
        <f t="shared" ca="1" si="27"/>
        <v/>
      </c>
      <c r="M35" s="13">
        <f t="shared" ca="1" si="27"/>
        <v>18.519483992923181</v>
      </c>
      <c r="N35" s="13" t="str">
        <f t="shared" ca="1" si="27"/>
        <v/>
      </c>
      <c r="O35" s="13" t="str">
        <f t="shared" ca="1" si="27"/>
        <v/>
      </c>
      <c r="P35" s="13" t="str">
        <f t="shared" ca="1" si="27"/>
        <v/>
      </c>
      <c r="Q35" s="13">
        <f t="shared" ca="1" si="27"/>
        <v>24.659813937916255</v>
      </c>
      <c r="R35" s="13">
        <f t="shared" ca="1" si="27"/>
        <v>17.51894876715361</v>
      </c>
      <c r="S35" s="13">
        <f t="shared" ca="1" si="27"/>
        <v>43.449658324057928</v>
      </c>
      <c r="T35" s="13">
        <f t="shared" ca="1" si="27"/>
        <v>31.518651076894969</v>
      </c>
      <c r="U35" s="13">
        <f t="shared" ca="1" si="27"/>
        <v>40.883753683416543</v>
      </c>
      <c r="V35" s="13">
        <f t="shared" ca="1" si="27"/>
        <v>7.6877167611625623</v>
      </c>
      <c r="W35" s="13">
        <f t="shared" ca="1" si="27"/>
        <v>29.04390831180082</v>
      </c>
      <c r="X35" s="13">
        <f t="shared" ca="1" si="27"/>
        <v>42.829666493298511</v>
      </c>
      <c r="Y35" s="13" t="str">
        <f t="shared" ca="1" si="27"/>
        <v/>
      </c>
      <c r="Z35" s="13" t="str">
        <f t="shared" ca="1" si="27"/>
        <v/>
      </c>
      <c r="AA35" s="7"/>
      <c r="AB35" s="3"/>
      <c r="AC35" s="6"/>
      <c r="AD35" s="3"/>
      <c r="AE35" s="3"/>
      <c r="AF35" s="3"/>
      <c r="AG35" s="3"/>
      <c r="AH35" s="3"/>
    </row>
    <row r="36" spans="1:34" s="15" customFormat="1" x14ac:dyDescent="0.2">
      <c r="A36" s="3"/>
      <c r="B36" s="3"/>
      <c r="C36" s="269"/>
      <c r="D36" s="8"/>
      <c r="E36" s="20" t="s">
        <v>24</v>
      </c>
      <c r="F36" s="223" t="str">
        <f t="shared" ref="F36:Z36" ca="1" si="28">IF(AND(ISNUMBER(OFFSET(F23,0,-1)),ISNUMBER(F23)),100*_xlfn.T.DIST((OFFSET(F23,0,-1)-F23-($E$16*ISNUMBER($E$16)+$E$17*ISNUMBER($E$17)*OFFSET(F23,0,-1)/100))/SQRT(F60^2+OFFSET(F60,0,-1)^2),IF(ISBLANK($E$15),$F72-2,$E$15),1),"")</f>
        <v/>
      </c>
      <c r="G36" s="29">
        <f t="shared" ca="1" si="28"/>
        <v>34.584116875132509</v>
      </c>
      <c r="H36" s="29" t="str">
        <f t="shared" ca="1" si="28"/>
        <v/>
      </c>
      <c r="I36" s="29" t="str">
        <f t="shared" ca="1" si="28"/>
        <v/>
      </c>
      <c r="J36" s="29">
        <f t="shared" ca="1" si="28"/>
        <v>42.160538202329718</v>
      </c>
      <c r="K36" s="29" t="str">
        <f t="shared" ca="1" si="28"/>
        <v/>
      </c>
      <c r="L36" s="29" t="str">
        <f t="shared" ca="1" si="28"/>
        <v/>
      </c>
      <c r="M36" s="29">
        <f t="shared" ca="1" si="28"/>
        <v>3.3971212599543921</v>
      </c>
      <c r="N36" s="29" t="str">
        <f t="shared" ca="1" si="28"/>
        <v/>
      </c>
      <c r="O36" s="29" t="str">
        <f t="shared" ca="1" si="28"/>
        <v/>
      </c>
      <c r="P36" s="29" t="str">
        <f t="shared" ca="1" si="28"/>
        <v/>
      </c>
      <c r="Q36" s="29">
        <f t="shared" ca="1" si="28"/>
        <v>70.598306312114801</v>
      </c>
      <c r="R36" s="29">
        <f t="shared" ca="1" si="28"/>
        <v>3.1170811237426879</v>
      </c>
      <c r="S36" s="29">
        <f t="shared" ca="1" si="28"/>
        <v>24.952978276471022</v>
      </c>
      <c r="T36" s="29">
        <f t="shared" ca="1" si="28"/>
        <v>60.63645070310487</v>
      </c>
      <c r="U36" s="29">
        <f t="shared" ca="1" si="28"/>
        <v>17.73925707571377</v>
      </c>
      <c r="V36" s="29">
        <f t="shared" ca="1" si="28"/>
        <v>91.534395448075983</v>
      </c>
      <c r="W36" s="29">
        <f t="shared" ca="1" si="28"/>
        <v>64.393745640765076</v>
      </c>
      <c r="X36" s="29">
        <f t="shared" ca="1" si="28"/>
        <v>36.269899592508089</v>
      </c>
      <c r="Y36" s="29" t="str">
        <f t="shared" ca="1" si="28"/>
        <v/>
      </c>
      <c r="Z36" s="29" t="str">
        <f t="shared" ca="1" si="28"/>
        <v/>
      </c>
      <c r="AA36" s="7"/>
      <c r="AB36" s="3"/>
      <c r="AC36" s="6"/>
      <c r="AD36" s="3"/>
      <c r="AE36" s="3"/>
      <c r="AF36" s="3"/>
      <c r="AG36" s="3"/>
      <c r="AH36" s="3"/>
    </row>
    <row r="37" spans="1:34" s="15" customFormat="1" ht="15.75" customHeight="1" thickBot="1" x14ac:dyDescent="0.25">
      <c r="A37" s="3"/>
      <c r="B37" s="3"/>
      <c r="C37" s="270"/>
      <c r="D37" s="85"/>
      <c r="E37" s="120" t="s">
        <v>8</v>
      </c>
      <c r="F37" s="225" t="str">
        <f t="shared" ref="F37:Z37" ca="1" si="29">IF(ISNUMBER(F34),IF(AND(F34&gt;$E$6,F36&gt;$E$6),"?",(IF(F34&gt;$E$6,"­"&amp;IF(F34&gt;100-$E$6,"*",""),""))&amp;(IF(F35&gt;$E$6,"«"&amp;IF(F35&gt;100-$E$6,"*",""),""))&amp;(IF(F36&gt;$E$6,"¯"&amp;IF(F36&gt;100-$E$6,"*",""),""))),"")</f>
        <v/>
      </c>
      <c r="G37" s="81" t="str">
        <f t="shared" ca="1" si="29"/>
        <v>?</v>
      </c>
      <c r="H37" s="81" t="str">
        <f t="shared" ca="1" si="29"/>
        <v/>
      </c>
      <c r="I37" s="81" t="str">
        <f t="shared" ca="1" si="29"/>
        <v/>
      </c>
      <c r="J37" s="81" t="str">
        <f t="shared" ca="1" si="29"/>
        <v>?</v>
      </c>
      <c r="K37" s="81" t="str">
        <f t="shared" ca="1" si="29"/>
        <v/>
      </c>
      <c r="L37" s="81" t="str">
        <f t="shared" ca="1" si="29"/>
        <v/>
      </c>
      <c r="M37" s="81" t="str">
        <f t="shared" ca="1" si="29"/>
        <v>­«</v>
      </c>
      <c r="N37" s="81" t="str">
        <f t="shared" ca="1" si="29"/>
        <v/>
      </c>
      <c r="O37" s="81" t="str">
        <f t="shared" ca="1" si="29"/>
        <v/>
      </c>
      <c r="P37" s="81" t="str">
        <f t="shared" ca="1" si="29"/>
        <v/>
      </c>
      <c r="Q37" s="81" t="str">
        <f t="shared" ca="1" si="29"/>
        <v>«¯</v>
      </c>
      <c r="R37" s="81" t="str">
        <f t="shared" ca="1" si="29"/>
        <v>­«</v>
      </c>
      <c r="S37" s="81" t="str">
        <f t="shared" ca="1" si="29"/>
        <v>?</v>
      </c>
      <c r="T37" s="81" t="str">
        <f t="shared" ca="1" si="29"/>
        <v>«¯</v>
      </c>
      <c r="U37" s="81" t="str">
        <f t="shared" ca="1" si="29"/>
        <v>?</v>
      </c>
      <c r="V37" s="81" t="str">
        <f t="shared" ca="1" si="29"/>
        <v>¯*</v>
      </c>
      <c r="W37" s="81" t="str">
        <f t="shared" ca="1" si="29"/>
        <v>«¯</v>
      </c>
      <c r="X37" s="81" t="str">
        <f t="shared" ca="1" si="29"/>
        <v>?</v>
      </c>
      <c r="Y37" s="81" t="str">
        <f t="shared" ca="1" si="29"/>
        <v/>
      </c>
      <c r="Z37" s="81" t="str">
        <f t="shared" ca="1" si="29"/>
        <v/>
      </c>
      <c r="AA37" s="7"/>
      <c r="AB37" s="3"/>
      <c r="AC37" s="6"/>
      <c r="AD37" s="3"/>
      <c r="AE37" s="3"/>
      <c r="AF37" s="3"/>
      <c r="AG37" s="3"/>
      <c r="AH37" s="3"/>
    </row>
    <row r="38" spans="1:34" s="15" customFormat="1" x14ac:dyDescent="0.2">
      <c r="A38" s="3"/>
      <c r="B38" s="3"/>
      <c r="C38" s="269" t="s">
        <v>206</v>
      </c>
      <c r="D38" s="7"/>
      <c r="E38" s="27" t="s">
        <v>22</v>
      </c>
      <c r="F38" s="13" t="str">
        <f t="shared" ref="F38:Z38" si="30">IF(AND(ISNUMBER(F23),F25=0),100*_xlfn.T.DIST((F23-F59-($E$16*ISNUMBER($E$16)+$E$17*ISNUMBER($E$17)*F59/100))/F63,F64,1),"")</f>
        <v/>
      </c>
      <c r="G38" s="13" t="str">
        <f t="shared" si="30"/>
        <v/>
      </c>
      <c r="H38" s="13" t="str">
        <f t="shared" si="30"/>
        <v/>
      </c>
      <c r="I38" s="13" t="str">
        <f t="shared" si="30"/>
        <v/>
      </c>
      <c r="J38" s="13" t="str">
        <f t="shared" si="30"/>
        <v/>
      </c>
      <c r="K38" s="13" t="str">
        <f t="shared" si="30"/>
        <v/>
      </c>
      <c r="L38" s="13" t="str">
        <f t="shared" si="30"/>
        <v/>
      </c>
      <c r="M38" s="13" t="str">
        <f t="shared" si="30"/>
        <v/>
      </c>
      <c r="N38" s="13" t="str">
        <f t="shared" si="30"/>
        <v/>
      </c>
      <c r="O38" s="13" t="str">
        <f t="shared" si="30"/>
        <v/>
      </c>
      <c r="P38" s="13" t="str">
        <f t="shared" si="30"/>
        <v/>
      </c>
      <c r="Q38" s="13" t="str">
        <f t="shared" si="30"/>
        <v/>
      </c>
      <c r="R38" s="13">
        <f t="shared" si="30"/>
        <v>79.375988841581929</v>
      </c>
      <c r="S38" s="13">
        <f t="shared" si="30"/>
        <v>88.471106704384979</v>
      </c>
      <c r="T38" s="13">
        <f t="shared" si="30"/>
        <v>68.929793569594196</v>
      </c>
      <c r="U38" s="13">
        <f t="shared" si="30"/>
        <v>87.224264161581118</v>
      </c>
      <c r="V38" s="13">
        <f t="shared" si="30"/>
        <v>23.368587990207594</v>
      </c>
      <c r="W38" s="13">
        <f t="shared" si="30"/>
        <v>8.6810162051803523</v>
      </c>
      <c r="X38" s="13">
        <f t="shared" si="30"/>
        <v>10.398140178107338</v>
      </c>
      <c r="Y38" s="13" t="str">
        <f t="shared" si="30"/>
        <v/>
      </c>
      <c r="Z38" s="13" t="str">
        <f t="shared" si="30"/>
        <v/>
      </c>
      <c r="AA38" s="7"/>
      <c r="AB38" s="3"/>
      <c r="AC38" s="6"/>
      <c r="AD38" s="3"/>
      <c r="AE38" s="3"/>
      <c r="AF38" s="3"/>
      <c r="AG38" s="3"/>
      <c r="AH38" s="3"/>
    </row>
    <row r="39" spans="1:34" s="15" customFormat="1" x14ac:dyDescent="0.2">
      <c r="A39" s="3"/>
      <c r="B39" s="3"/>
      <c r="C39" s="269"/>
      <c r="D39" s="7"/>
      <c r="E39" s="27" t="s">
        <v>23</v>
      </c>
      <c r="F39" s="13" t="str">
        <f t="shared" ref="F39:Z39" si="31">IF(AND(ISNUMBER(F23),F25=0),100-F38-F40,"")</f>
        <v/>
      </c>
      <c r="G39" s="13" t="str">
        <f t="shared" si="31"/>
        <v/>
      </c>
      <c r="H39" s="13" t="str">
        <f t="shared" si="31"/>
        <v/>
      </c>
      <c r="I39" s="13" t="str">
        <f t="shared" si="31"/>
        <v/>
      </c>
      <c r="J39" s="13" t="str">
        <f t="shared" si="31"/>
        <v/>
      </c>
      <c r="K39" s="13" t="str">
        <f t="shared" si="31"/>
        <v/>
      </c>
      <c r="L39" s="13" t="str">
        <f t="shared" si="31"/>
        <v/>
      </c>
      <c r="M39" s="13" t="str">
        <f t="shared" si="31"/>
        <v/>
      </c>
      <c r="N39" s="13" t="str">
        <f t="shared" si="31"/>
        <v/>
      </c>
      <c r="O39" s="13" t="str">
        <f t="shared" si="31"/>
        <v/>
      </c>
      <c r="P39" s="13" t="str">
        <f t="shared" si="31"/>
        <v/>
      </c>
      <c r="Q39" s="13" t="str">
        <f t="shared" si="31"/>
        <v/>
      </c>
      <c r="R39" s="13">
        <f t="shared" si="31"/>
        <v>18.775879082124717</v>
      </c>
      <c r="S39" s="13">
        <f t="shared" si="31"/>
        <v>10.644903134381019</v>
      </c>
      <c r="T39" s="13">
        <f t="shared" si="31"/>
        <v>26.783927339912132</v>
      </c>
      <c r="U39" s="13">
        <f t="shared" si="31"/>
        <v>11.474232259359098</v>
      </c>
      <c r="V39" s="13">
        <f t="shared" si="31"/>
        <v>45.063125735157953</v>
      </c>
      <c r="W39" s="13">
        <f t="shared" si="31"/>
        <v>32.588493967944679</v>
      </c>
      <c r="X39" s="13">
        <f t="shared" si="31"/>
        <v>32.764868312563436</v>
      </c>
      <c r="Y39" s="13" t="str">
        <f t="shared" si="31"/>
        <v/>
      </c>
      <c r="Z39" s="13" t="str">
        <f t="shared" si="31"/>
        <v/>
      </c>
      <c r="AA39" s="7"/>
      <c r="AB39" s="3"/>
      <c r="AC39" s="6"/>
      <c r="AD39" s="3"/>
      <c r="AE39" s="3"/>
      <c r="AF39" s="3"/>
      <c r="AG39" s="3"/>
      <c r="AH39" s="3"/>
    </row>
    <row r="40" spans="1:34" s="15" customFormat="1" x14ac:dyDescent="0.2">
      <c r="A40" s="3"/>
      <c r="B40" s="3"/>
      <c r="C40" s="269"/>
      <c r="D40" s="7"/>
      <c r="E40" s="27" t="s">
        <v>24</v>
      </c>
      <c r="F40" s="29" t="str">
        <f t="shared" ref="F40:Z40" si="32">IF(AND(ISNUMBER(F23),F25=0),100*_xlfn.T.DIST((F59-F23-($E$16*ISNUMBER($E$16)+$E$17*ISNUMBER($E$17)*F59/100))/F63,F64,1),"")</f>
        <v/>
      </c>
      <c r="G40" s="29" t="str">
        <f t="shared" si="32"/>
        <v/>
      </c>
      <c r="H40" s="29" t="str">
        <f t="shared" si="32"/>
        <v/>
      </c>
      <c r="I40" s="29" t="str">
        <f t="shared" si="32"/>
        <v/>
      </c>
      <c r="J40" s="29" t="str">
        <f t="shared" si="32"/>
        <v/>
      </c>
      <c r="K40" s="29" t="str">
        <f t="shared" si="32"/>
        <v/>
      </c>
      <c r="L40" s="29" t="str">
        <f t="shared" si="32"/>
        <v/>
      </c>
      <c r="M40" s="29" t="str">
        <f t="shared" si="32"/>
        <v/>
      </c>
      <c r="N40" s="29" t="str">
        <f t="shared" si="32"/>
        <v/>
      </c>
      <c r="O40" s="29" t="str">
        <f t="shared" si="32"/>
        <v/>
      </c>
      <c r="P40" s="29" t="str">
        <f t="shared" si="32"/>
        <v/>
      </c>
      <c r="Q40" s="29" t="str">
        <f t="shared" si="32"/>
        <v/>
      </c>
      <c r="R40" s="29">
        <f t="shared" si="32"/>
        <v>1.8481320762933529</v>
      </c>
      <c r="S40" s="29">
        <f t="shared" si="32"/>
        <v>0.88399016123400176</v>
      </c>
      <c r="T40" s="29">
        <f t="shared" si="32"/>
        <v>4.2862790904936734</v>
      </c>
      <c r="U40" s="29">
        <f t="shared" si="32"/>
        <v>1.3015035790597829</v>
      </c>
      <c r="V40" s="29">
        <f t="shared" si="32"/>
        <v>31.568286274634449</v>
      </c>
      <c r="W40" s="29">
        <f t="shared" si="32"/>
        <v>58.730489826874965</v>
      </c>
      <c r="X40" s="29">
        <f t="shared" si="32"/>
        <v>56.836991509329224</v>
      </c>
      <c r="Y40" s="29" t="str">
        <f t="shared" si="32"/>
        <v/>
      </c>
      <c r="Z40" s="29" t="str">
        <f t="shared" si="32"/>
        <v/>
      </c>
      <c r="AA40" s="7"/>
      <c r="AB40" s="3"/>
      <c r="AC40" s="6"/>
      <c r="AD40" s="3"/>
      <c r="AE40" s="3"/>
      <c r="AF40" s="3"/>
      <c r="AG40" s="3"/>
      <c r="AH40" s="3"/>
    </row>
    <row r="41" spans="1:34" s="15" customFormat="1" ht="15.75" thickBot="1" x14ac:dyDescent="0.25">
      <c r="A41" s="3"/>
      <c r="B41" s="3"/>
      <c r="C41" s="270"/>
      <c r="D41" s="80"/>
      <c r="E41" s="120" t="s">
        <v>8</v>
      </c>
      <c r="F41" s="81" t="str">
        <f t="shared" ref="F41:Z41" si="33">IF(ISNUMBER(F38),IF(AND(F38&gt;$E$6,F40&gt;$E$6),"?",(IF(F38&gt;$E$6,"­"&amp;IF(F38&gt;100-$E$6,"*",""),""))&amp;(IF(F39&gt;$E$6,"«"&amp;IF(F39&gt;100-$E$6,"*",""),""))&amp;(IF(F40&gt;$E$6,"¯"&amp;IF(F40&gt;100-$E$6,"*",""),""))),"")</f>
        <v/>
      </c>
      <c r="G41" s="81" t="str">
        <f t="shared" si="33"/>
        <v/>
      </c>
      <c r="H41" s="81" t="str">
        <f t="shared" si="33"/>
        <v/>
      </c>
      <c r="I41" s="81" t="str">
        <f t="shared" si="33"/>
        <v/>
      </c>
      <c r="J41" s="81" t="str">
        <f t="shared" si="33"/>
        <v/>
      </c>
      <c r="K41" s="81" t="str">
        <f t="shared" si="33"/>
        <v/>
      </c>
      <c r="L41" s="81" t="str">
        <f t="shared" si="33"/>
        <v/>
      </c>
      <c r="M41" s="81" t="str">
        <f t="shared" si="33"/>
        <v/>
      </c>
      <c r="N41" s="81" t="str">
        <f t="shared" si="33"/>
        <v/>
      </c>
      <c r="O41" s="81" t="str">
        <f t="shared" si="33"/>
        <v/>
      </c>
      <c r="P41" s="81" t="str">
        <f t="shared" si="33"/>
        <v/>
      </c>
      <c r="Q41" s="81" t="str">
        <f t="shared" si="33"/>
        <v/>
      </c>
      <c r="R41" s="81" t="str">
        <f t="shared" si="33"/>
        <v>­«</v>
      </c>
      <c r="S41" s="81" t="str">
        <f t="shared" si="33"/>
        <v>­«</v>
      </c>
      <c r="T41" s="81" t="str">
        <f t="shared" si="33"/>
        <v>­«</v>
      </c>
      <c r="U41" s="81" t="str">
        <f t="shared" si="33"/>
        <v>­«</v>
      </c>
      <c r="V41" s="81" t="str">
        <f t="shared" si="33"/>
        <v>?</v>
      </c>
      <c r="W41" s="81" t="str">
        <f t="shared" si="33"/>
        <v>«¯</v>
      </c>
      <c r="X41" s="81" t="str">
        <f t="shared" si="33"/>
        <v>?</v>
      </c>
      <c r="Y41" s="81" t="str">
        <f t="shared" si="33"/>
        <v/>
      </c>
      <c r="Z41" s="81" t="str">
        <f t="shared" si="33"/>
        <v/>
      </c>
      <c r="AA41" s="7"/>
      <c r="AB41" s="3"/>
      <c r="AC41" s="6"/>
      <c r="AD41" s="3"/>
      <c r="AE41" s="3"/>
      <c r="AF41" s="3"/>
      <c r="AG41" s="3"/>
      <c r="AH41" s="3"/>
    </row>
    <row r="42" spans="1:34" s="15" customFormat="1" x14ac:dyDescent="0.2">
      <c r="A42" s="3"/>
      <c r="B42" s="3"/>
      <c r="C42" s="77"/>
      <c r="D42" s="78"/>
      <c r="E42" s="82" t="s">
        <v>57</v>
      </c>
      <c r="F42" s="83"/>
      <c r="G42" s="84"/>
      <c r="H42" s="84"/>
      <c r="I42" s="84"/>
      <c r="J42" s="84"/>
      <c r="K42" s="84"/>
      <c r="L42" s="84"/>
      <c r="M42" s="84"/>
      <c r="N42" s="84"/>
      <c r="O42" s="84"/>
      <c r="P42" s="84"/>
      <c r="Q42" s="84"/>
      <c r="R42" s="84">
        <v>1</v>
      </c>
      <c r="S42" s="84">
        <v>1</v>
      </c>
      <c r="T42" s="84">
        <v>1</v>
      </c>
      <c r="U42" s="84">
        <v>1</v>
      </c>
      <c r="V42" s="84"/>
      <c r="W42" s="84"/>
      <c r="X42" s="84"/>
      <c r="Y42" s="84"/>
      <c r="Z42" s="84"/>
      <c r="AA42" s="7"/>
      <c r="AB42" s="3"/>
      <c r="AC42" s="6"/>
      <c r="AD42" s="3"/>
      <c r="AE42" s="3"/>
      <c r="AF42" s="3"/>
      <c r="AG42" s="3"/>
      <c r="AH42" s="3"/>
    </row>
    <row r="43" spans="1:34" s="15" customFormat="1" x14ac:dyDescent="0.2">
      <c r="A43" s="3"/>
      <c r="B43" s="3"/>
      <c r="C43" s="271" t="s">
        <v>207</v>
      </c>
      <c r="D43" s="30"/>
      <c r="E43" s="31" t="s">
        <v>22</v>
      </c>
      <c r="F43" s="79" t="str">
        <f t="shared" ref="F43:Z43" si="34">IF(F$78=1,100*_xlfn.T.DIST(($E$79-$E$80-($E$16*ISNUMBER($E$16)+$E$17*ISNUMBER($E$17)*$E$80/100))/$E$82,$E$83,1),"")</f>
        <v/>
      </c>
      <c r="G43" s="79" t="str">
        <f t="shared" si="34"/>
        <v/>
      </c>
      <c r="H43" s="79" t="str">
        <f t="shared" si="34"/>
        <v/>
      </c>
      <c r="I43" s="79" t="str">
        <f t="shared" si="34"/>
        <v/>
      </c>
      <c r="J43" s="79" t="str">
        <f t="shared" si="34"/>
        <v/>
      </c>
      <c r="K43" s="79" t="str">
        <f t="shared" si="34"/>
        <v/>
      </c>
      <c r="L43" s="79" t="str">
        <f t="shared" si="34"/>
        <v/>
      </c>
      <c r="M43" s="79" t="str">
        <f t="shared" si="34"/>
        <v/>
      </c>
      <c r="N43" s="79" t="str">
        <f t="shared" si="34"/>
        <v/>
      </c>
      <c r="O43" s="79" t="str">
        <f t="shared" si="34"/>
        <v/>
      </c>
      <c r="P43" s="79" t="str">
        <f t="shared" si="34"/>
        <v/>
      </c>
      <c r="Q43" s="79" t="str">
        <f t="shared" si="34"/>
        <v/>
      </c>
      <c r="R43" s="79">
        <f t="shared" si="34"/>
        <v>90.393578695627824</v>
      </c>
      <c r="S43" s="79">
        <f t="shared" si="34"/>
        <v>90.393578695627824</v>
      </c>
      <c r="T43" s="79">
        <f t="shared" si="34"/>
        <v>90.393578695627824</v>
      </c>
      <c r="U43" s="79">
        <f t="shared" si="34"/>
        <v>90.393578695627824</v>
      </c>
      <c r="V43" s="79" t="str">
        <f t="shared" si="34"/>
        <v/>
      </c>
      <c r="W43" s="79" t="str">
        <f t="shared" si="34"/>
        <v/>
      </c>
      <c r="X43" s="79" t="str">
        <f t="shared" si="34"/>
        <v/>
      </c>
      <c r="Y43" s="79" t="str">
        <f t="shared" si="34"/>
        <v/>
      </c>
      <c r="Z43" s="79" t="str">
        <f t="shared" si="34"/>
        <v/>
      </c>
      <c r="AA43" s="7"/>
      <c r="AB43" s="3"/>
      <c r="AC43" s="6"/>
      <c r="AD43" s="3"/>
      <c r="AE43" s="3"/>
      <c r="AF43" s="3"/>
      <c r="AG43" s="3"/>
      <c r="AH43" s="3"/>
    </row>
    <row r="44" spans="1:34" s="15" customFormat="1" x14ac:dyDescent="0.2">
      <c r="A44" s="3"/>
      <c r="B44" s="3"/>
      <c r="C44" s="269"/>
      <c r="D44" s="8"/>
      <c r="E44" s="20" t="s">
        <v>23</v>
      </c>
      <c r="F44" s="13" t="str">
        <f t="shared" ref="F44:Z44" si="35">IF(F78=1,100-F43-F45,"")</f>
        <v/>
      </c>
      <c r="G44" s="13" t="str">
        <f t="shared" si="35"/>
        <v/>
      </c>
      <c r="H44" s="13" t="str">
        <f t="shared" si="35"/>
        <v/>
      </c>
      <c r="I44" s="13" t="str">
        <f t="shared" si="35"/>
        <v/>
      </c>
      <c r="J44" s="13" t="str">
        <f t="shared" si="35"/>
        <v/>
      </c>
      <c r="K44" s="13" t="str">
        <f t="shared" si="35"/>
        <v/>
      </c>
      <c r="L44" s="13" t="str">
        <f t="shared" si="35"/>
        <v/>
      </c>
      <c r="M44" s="13" t="str">
        <f t="shared" si="35"/>
        <v/>
      </c>
      <c r="N44" s="13" t="str">
        <f t="shared" si="35"/>
        <v/>
      </c>
      <c r="O44" s="13" t="str">
        <f t="shared" si="35"/>
        <v/>
      </c>
      <c r="P44" s="13" t="str">
        <f t="shared" si="35"/>
        <v/>
      </c>
      <c r="Q44" s="13" t="str">
        <f t="shared" si="35"/>
        <v/>
      </c>
      <c r="R44" s="13">
        <f t="shared" si="35"/>
        <v>9.412915240253751</v>
      </c>
      <c r="S44" s="13">
        <f t="shared" si="35"/>
        <v>9.412915240253751</v>
      </c>
      <c r="T44" s="13">
        <f t="shared" si="35"/>
        <v>9.412915240253751</v>
      </c>
      <c r="U44" s="13">
        <f t="shared" si="35"/>
        <v>9.412915240253751</v>
      </c>
      <c r="V44" s="13" t="str">
        <f t="shared" si="35"/>
        <v/>
      </c>
      <c r="W44" s="13" t="str">
        <f t="shared" si="35"/>
        <v/>
      </c>
      <c r="X44" s="13" t="str">
        <f t="shared" si="35"/>
        <v/>
      </c>
      <c r="Y44" s="13" t="str">
        <f t="shared" si="35"/>
        <v/>
      </c>
      <c r="Z44" s="13" t="str">
        <f t="shared" si="35"/>
        <v/>
      </c>
      <c r="AA44" s="7"/>
      <c r="AB44" s="3"/>
      <c r="AC44" s="6"/>
      <c r="AD44" s="3"/>
      <c r="AE44" s="3"/>
      <c r="AF44" s="3"/>
      <c r="AG44" s="3"/>
      <c r="AH44" s="3"/>
    </row>
    <row r="45" spans="1:34" s="15" customFormat="1" x14ac:dyDescent="0.2">
      <c r="A45" s="3"/>
      <c r="B45" s="3"/>
      <c r="C45" s="269"/>
      <c r="D45" s="8"/>
      <c r="E45" s="20" t="s">
        <v>24</v>
      </c>
      <c r="F45" s="29" t="str">
        <f t="shared" ref="F45:Z45" si="36">IF(F$78=1,100*_xlfn.T.DIST(($E$80-$E$79-($E$16*ISNUMBER($E$16)+$E$17*ISNUMBER($E$17)*$E$80/100))/$E$82,$E$83,1),"")</f>
        <v/>
      </c>
      <c r="G45" s="29" t="str">
        <f t="shared" si="36"/>
        <v/>
      </c>
      <c r="H45" s="29" t="str">
        <f t="shared" si="36"/>
        <v/>
      </c>
      <c r="I45" s="29" t="str">
        <f t="shared" si="36"/>
        <v/>
      </c>
      <c r="J45" s="29" t="str">
        <f t="shared" si="36"/>
        <v/>
      </c>
      <c r="K45" s="29" t="str">
        <f t="shared" si="36"/>
        <v/>
      </c>
      <c r="L45" s="29" t="str">
        <f t="shared" si="36"/>
        <v/>
      </c>
      <c r="M45" s="29" t="str">
        <f t="shared" si="36"/>
        <v/>
      </c>
      <c r="N45" s="29" t="str">
        <f t="shared" si="36"/>
        <v/>
      </c>
      <c r="O45" s="29" t="str">
        <f t="shared" si="36"/>
        <v/>
      </c>
      <c r="P45" s="29" t="str">
        <f t="shared" si="36"/>
        <v/>
      </c>
      <c r="Q45" s="29" t="str">
        <f t="shared" si="36"/>
        <v/>
      </c>
      <c r="R45" s="29">
        <f t="shared" si="36"/>
        <v>0.19350606411842494</v>
      </c>
      <c r="S45" s="29">
        <f t="shared" si="36"/>
        <v>0.19350606411842494</v>
      </c>
      <c r="T45" s="29">
        <f t="shared" si="36"/>
        <v>0.19350606411842494</v>
      </c>
      <c r="U45" s="29">
        <f t="shared" si="36"/>
        <v>0.19350606411842494</v>
      </c>
      <c r="V45" s="29" t="str">
        <f t="shared" si="36"/>
        <v/>
      </c>
      <c r="W45" s="29" t="str">
        <f t="shared" si="36"/>
        <v/>
      </c>
      <c r="X45" s="29" t="str">
        <f t="shared" si="36"/>
        <v/>
      </c>
      <c r="Y45" s="29" t="str">
        <f t="shared" si="36"/>
        <v/>
      </c>
      <c r="Z45" s="29" t="str">
        <f t="shared" si="36"/>
        <v/>
      </c>
      <c r="AA45" s="7"/>
      <c r="AB45" s="3"/>
      <c r="AC45" s="6"/>
      <c r="AD45" s="3"/>
      <c r="AE45" s="3"/>
      <c r="AF45" s="3"/>
      <c r="AG45" s="3"/>
      <c r="AH45" s="3"/>
    </row>
    <row r="46" spans="1:34" s="15" customFormat="1" ht="15.75" thickBot="1" x14ac:dyDescent="0.25">
      <c r="A46" s="3"/>
      <c r="B46" s="3"/>
      <c r="C46" s="270"/>
      <c r="D46" s="85"/>
      <c r="E46" s="120" t="s">
        <v>8</v>
      </c>
      <c r="F46" s="81" t="str">
        <f t="shared" ref="F46:Z46" si="37">IF(ISNUMBER(F43),IF(AND(F43&gt;$E$6,F45&gt;$E$6),"?",(IF(F43&gt;$E$6,"­"&amp;IF(F43&gt;100-$E$6,"*",""),""))&amp;(IF(F44&gt;$E$6,"«"&amp;IF(F44&gt;100-$E$6,"*",""),""))&amp;(IF(F45&gt;$E$6,"¯"&amp;IF(F45&gt;100-$E$6,"*",""),""))),"")</f>
        <v/>
      </c>
      <c r="G46" s="81" t="str">
        <f t="shared" si="37"/>
        <v/>
      </c>
      <c r="H46" s="81" t="str">
        <f t="shared" si="37"/>
        <v/>
      </c>
      <c r="I46" s="81" t="str">
        <f t="shared" si="37"/>
        <v/>
      </c>
      <c r="J46" s="81" t="str">
        <f t="shared" si="37"/>
        <v/>
      </c>
      <c r="K46" s="81" t="str">
        <f t="shared" si="37"/>
        <v/>
      </c>
      <c r="L46" s="81" t="str">
        <f t="shared" si="37"/>
        <v/>
      </c>
      <c r="M46" s="81" t="str">
        <f t="shared" si="37"/>
        <v/>
      </c>
      <c r="N46" s="81" t="str">
        <f t="shared" si="37"/>
        <v/>
      </c>
      <c r="O46" s="81" t="str">
        <f t="shared" si="37"/>
        <v/>
      </c>
      <c r="P46" s="81" t="str">
        <f t="shared" si="37"/>
        <v/>
      </c>
      <c r="Q46" s="81" t="str">
        <f t="shared" si="37"/>
        <v/>
      </c>
      <c r="R46" s="81" t="str">
        <f t="shared" si="37"/>
        <v>­*</v>
      </c>
      <c r="S46" s="81" t="str">
        <f t="shared" si="37"/>
        <v>­*</v>
      </c>
      <c r="T46" s="81" t="str">
        <f t="shared" si="37"/>
        <v>­*</v>
      </c>
      <c r="U46" s="81" t="str">
        <f t="shared" si="37"/>
        <v>­*</v>
      </c>
      <c r="V46" s="81" t="str">
        <f t="shared" si="37"/>
        <v/>
      </c>
      <c r="W46" s="81" t="str">
        <f t="shared" si="37"/>
        <v/>
      </c>
      <c r="X46" s="81" t="str">
        <f t="shared" si="37"/>
        <v/>
      </c>
      <c r="Y46" s="81" t="str">
        <f t="shared" si="37"/>
        <v/>
      </c>
      <c r="Z46" s="81" t="str">
        <f t="shared" si="37"/>
        <v/>
      </c>
      <c r="AA46" s="7"/>
      <c r="AB46" s="3"/>
      <c r="AC46" s="6"/>
      <c r="AD46" s="3"/>
      <c r="AE46" s="3"/>
      <c r="AF46" s="3"/>
      <c r="AG46" s="3"/>
      <c r="AH46" s="3"/>
    </row>
    <row r="47" spans="1:34" s="15" customFormat="1" x14ac:dyDescent="0.2">
      <c r="A47" s="3"/>
      <c r="B47" s="3"/>
      <c r="C47" s="39"/>
      <c r="D47" s="221" t="s">
        <v>30</v>
      </c>
      <c r="E47" s="154">
        <f>F66*E20</f>
        <v>-4.8614301718967514</v>
      </c>
      <c r="F47" s="43" t="str">
        <f>"per "&amp;E20&amp;" unit(s) of time"</f>
        <v>per 10 unit(s) of time</v>
      </c>
      <c r="G47" s="44"/>
      <c r="H47" s="44"/>
      <c r="I47" s="44"/>
      <c r="J47" s="44"/>
      <c r="K47" s="44"/>
      <c r="L47" s="44"/>
      <c r="M47" s="44"/>
      <c r="N47" s="44"/>
      <c r="O47" s="44"/>
      <c r="P47" s="44"/>
      <c r="Q47" s="44"/>
      <c r="R47" s="44"/>
      <c r="S47" s="44"/>
      <c r="T47" s="44"/>
      <c r="U47" s="44"/>
      <c r="V47" s="44"/>
      <c r="W47" s="44"/>
      <c r="X47" s="44"/>
      <c r="Y47" s="44"/>
      <c r="Z47" s="44"/>
      <c r="AA47" s="7"/>
      <c r="AB47" s="3"/>
      <c r="AC47" s="6"/>
      <c r="AD47" s="3"/>
      <c r="AE47" s="3"/>
      <c r="AF47" s="3"/>
      <c r="AG47" s="3"/>
      <c r="AH47" s="3"/>
    </row>
    <row r="48" spans="1:34" s="15" customFormat="1" x14ac:dyDescent="0.2">
      <c r="A48" s="3"/>
      <c r="B48" s="3"/>
      <c r="C48" s="40"/>
      <c r="D48" s="20" t="s">
        <v>87</v>
      </c>
      <c r="E48" s="154">
        <f>IF(AND(ISBLANK($E$19),ISBLANK($E$18)),"",ABS(($E$18+$E$19*AVERAGE(F58:Z58)/100)/$E$20))*E20</f>
        <v>2.3668750000000003</v>
      </c>
      <c r="F48" s="42" t="str">
        <f>"per "&amp;E20&amp;" unit(s) of time"</f>
        <v>per 10 unit(s) of time</v>
      </c>
      <c r="G48" s="44"/>
      <c r="H48" s="44"/>
      <c r="I48" s="44"/>
      <c r="J48" s="44"/>
      <c r="K48" s="44"/>
      <c r="L48" s="44"/>
      <c r="M48" s="44"/>
      <c r="N48" s="44"/>
      <c r="O48" s="44"/>
      <c r="P48" s="44"/>
      <c r="Q48" s="44"/>
      <c r="R48" s="44"/>
      <c r="S48" s="44"/>
      <c r="T48" s="44"/>
      <c r="U48" s="44"/>
      <c r="V48" s="44"/>
      <c r="W48" s="44"/>
      <c r="X48" s="44"/>
      <c r="Y48" s="44"/>
      <c r="Z48" s="44"/>
      <c r="AA48" s="7"/>
      <c r="AB48" s="7"/>
      <c r="AC48" s="6"/>
      <c r="AD48" s="3"/>
      <c r="AE48" s="3"/>
      <c r="AF48" s="3"/>
      <c r="AG48" s="3"/>
      <c r="AH48" s="3"/>
    </row>
    <row r="49" spans="1:34" s="15" customFormat="1" x14ac:dyDescent="0.2">
      <c r="A49" s="3"/>
      <c r="B49" s="3"/>
      <c r="C49" s="40"/>
      <c r="D49" s="20" t="s">
        <v>22</v>
      </c>
      <c r="E49" s="13">
        <f>IF(ISNUMBER(E48),100*_xlfn.T.DIST((E47-E48)/F67/E20,F72-2,1),"")</f>
        <v>2.0264275605392412E-2</v>
      </c>
      <c r="F49" s="44"/>
      <c r="G49" s="44"/>
      <c r="H49" s="44"/>
      <c r="I49" s="44"/>
      <c r="J49" s="44"/>
      <c r="K49" s="44"/>
      <c r="L49" s="44"/>
      <c r="M49" s="44"/>
      <c r="N49" s="44"/>
      <c r="O49" s="44"/>
      <c r="P49" s="44"/>
      <c r="Q49" s="44"/>
      <c r="R49" s="44"/>
      <c r="S49" s="44"/>
      <c r="T49" s="44"/>
      <c r="U49" s="44"/>
      <c r="V49" s="44"/>
      <c r="W49" s="44"/>
      <c r="X49" s="44"/>
      <c r="Y49" s="44"/>
      <c r="Z49" s="44"/>
      <c r="AA49" s="7"/>
      <c r="AB49" s="7"/>
      <c r="AC49" s="6"/>
      <c r="AD49" s="3"/>
      <c r="AE49" s="3"/>
      <c r="AF49" s="3"/>
      <c r="AG49" s="3"/>
      <c r="AH49" s="3"/>
    </row>
    <row r="50" spans="1:34" s="15" customFormat="1" x14ac:dyDescent="0.2">
      <c r="A50" s="3"/>
      <c r="B50" s="3"/>
      <c r="C50" s="40"/>
      <c r="D50" s="20" t="s">
        <v>23</v>
      </c>
      <c r="E50" s="13">
        <f>IF(ISNUMBER(E48),100-E49-E51,"")</f>
        <v>2.5191952723535991</v>
      </c>
      <c r="F50" s="44"/>
      <c r="G50" s="44"/>
      <c r="H50" s="44"/>
      <c r="I50" s="44"/>
      <c r="J50" s="44"/>
      <c r="K50" s="44"/>
      <c r="L50" s="44"/>
      <c r="M50" s="44"/>
      <c r="N50" s="44"/>
      <c r="O50" s="44"/>
      <c r="P50" s="44"/>
      <c r="Q50" s="44"/>
      <c r="R50" s="44"/>
      <c r="S50" s="44"/>
      <c r="T50" s="44"/>
      <c r="U50" s="44"/>
      <c r="V50" s="44"/>
      <c r="W50" s="44"/>
      <c r="X50" s="44"/>
      <c r="Y50" s="44"/>
      <c r="Z50" s="44"/>
      <c r="AA50" s="7"/>
      <c r="AB50" s="7"/>
      <c r="AC50" s="6"/>
      <c r="AD50" s="3"/>
      <c r="AE50" s="3"/>
      <c r="AF50" s="3"/>
      <c r="AG50" s="3"/>
      <c r="AH50" s="3"/>
    </row>
    <row r="51" spans="1:34" s="15" customFormat="1" x14ac:dyDescent="0.2">
      <c r="A51" s="3"/>
      <c r="B51" s="3"/>
      <c r="C51" s="40"/>
      <c r="D51" s="20" t="s">
        <v>24</v>
      </c>
      <c r="E51" s="29">
        <f>IF(ISNUMBER(E48),100*_xlfn.T.DIST((-E47-E48)/F67/E20,F72-2,1),"")</f>
        <v>97.460540452041002</v>
      </c>
      <c r="F51" s="44"/>
      <c r="G51" s="44"/>
      <c r="H51" s="44"/>
      <c r="I51" s="44"/>
      <c r="J51" s="44"/>
      <c r="K51" s="44"/>
      <c r="L51" s="44"/>
      <c r="M51" s="44"/>
      <c r="N51" s="44"/>
      <c r="O51" s="44"/>
      <c r="P51" s="44"/>
      <c r="Q51" s="44"/>
      <c r="R51" s="44"/>
      <c r="S51" s="44"/>
      <c r="T51" s="44"/>
      <c r="U51" s="44"/>
      <c r="V51" s="44"/>
      <c r="W51" s="44"/>
      <c r="X51" s="44"/>
      <c r="Y51" s="44"/>
      <c r="Z51" s="44"/>
      <c r="AA51" s="7"/>
      <c r="AB51" s="7"/>
      <c r="AC51" s="6"/>
      <c r="AD51" s="3"/>
      <c r="AE51" s="3"/>
      <c r="AF51" s="3"/>
      <c r="AG51" s="3"/>
      <c r="AH51" s="3"/>
    </row>
    <row r="52" spans="1:34" s="15" customFormat="1" ht="15.75" customHeight="1" x14ac:dyDescent="0.2">
      <c r="A52" s="3"/>
      <c r="B52" s="3"/>
      <c r="C52" s="41"/>
      <c r="D52" s="33" t="s">
        <v>8</v>
      </c>
      <c r="E52" s="14" t="str">
        <f>IF(ISNUMBER(E49),IF(AND(E49&gt;$E$6,E51&gt;$E$6),"?",(IF(E49&gt;$E$6,"­"&amp;IF(E49&gt;100-$E$6,"*",""),""))&amp;(IF(E50&gt;$E$6,"«"&amp;IF(E50&gt;100-$E$6,"*",""),""))&amp;(IF(E51&gt;$E$6,"¯"&amp;IF(E51&gt;100-$E$6,"*",""),""))),"")</f>
        <v>¯*</v>
      </c>
      <c r="F52" s="3"/>
      <c r="G52" s="3"/>
      <c r="H52" s="3"/>
      <c r="I52" s="3"/>
      <c r="J52" s="3"/>
      <c r="K52" s="3"/>
      <c r="L52" s="3"/>
      <c r="M52" s="3"/>
      <c r="N52" s="3"/>
      <c r="O52" s="3"/>
      <c r="P52" s="3"/>
      <c r="Q52" s="3"/>
      <c r="R52" s="3"/>
      <c r="S52" s="3"/>
      <c r="T52" s="3"/>
      <c r="U52" s="3"/>
      <c r="V52" s="44"/>
      <c r="W52" s="3"/>
      <c r="X52" s="3"/>
      <c r="Y52" s="3"/>
      <c r="Z52" s="3"/>
      <c r="AA52" s="7"/>
      <c r="AB52" s="7"/>
      <c r="AC52" s="6"/>
      <c r="AD52" s="3"/>
      <c r="AE52" s="3"/>
      <c r="AF52" s="3"/>
      <c r="AG52" s="3"/>
      <c r="AH52" s="3"/>
    </row>
    <row r="53" spans="1:34" s="15" customFormat="1" x14ac:dyDescent="0.2">
      <c r="A53" s="3"/>
      <c r="B53" s="3"/>
      <c r="C53" s="3" t="s">
        <v>202</v>
      </c>
      <c r="D53" s="3"/>
      <c r="E53" s="3"/>
      <c r="F53" s="25"/>
      <c r="G53" s="25"/>
      <c r="H53" s="25"/>
      <c r="I53" s="25"/>
      <c r="J53" s="25"/>
      <c r="K53" s="25"/>
      <c r="L53" s="25"/>
      <c r="M53" s="25"/>
      <c r="N53" s="25"/>
      <c r="O53" s="25"/>
      <c r="P53" s="25"/>
      <c r="Q53" s="25"/>
      <c r="R53" s="25"/>
      <c r="S53" s="25"/>
      <c r="T53" s="25"/>
      <c r="U53" s="25"/>
      <c r="V53" s="25"/>
      <c r="W53" s="25"/>
      <c r="X53" s="25"/>
      <c r="Y53" s="25"/>
      <c r="Z53" s="25"/>
      <c r="AA53" s="7"/>
      <c r="AB53" s="7"/>
      <c r="AC53" s="6"/>
      <c r="AD53" s="3"/>
      <c r="AE53" s="3"/>
      <c r="AF53" s="3"/>
      <c r="AG53" s="3"/>
      <c r="AH53" s="3"/>
    </row>
    <row r="54" spans="1:34" s="15" customFormat="1" x14ac:dyDescent="0.2">
      <c r="A54" s="3"/>
      <c r="B54" s="3"/>
      <c r="C54" s="30"/>
      <c r="D54" s="24"/>
      <c r="E54" s="31" t="s">
        <v>208</v>
      </c>
      <c r="F54" s="227">
        <f>IF(ISBLANK(F24),"",F23)</f>
        <v>50.1</v>
      </c>
      <c r="G54" s="230" t="str">
        <f>IF(ISBLANK(G24),"",G23)</f>
        <v/>
      </c>
      <c r="H54" s="230" t="str">
        <f t="shared" ref="H54:Z54" si="38">IF(ISBLANK(H24),"",H23)</f>
        <v/>
      </c>
      <c r="I54" s="230" t="str">
        <f t="shared" si="38"/>
        <v/>
      </c>
      <c r="J54" s="230" t="str">
        <f t="shared" si="38"/>
        <v/>
      </c>
      <c r="K54" s="230" t="str">
        <f t="shared" si="38"/>
        <v/>
      </c>
      <c r="L54" s="230" t="str">
        <f t="shared" si="38"/>
        <v/>
      </c>
      <c r="M54" s="230" t="str">
        <f t="shared" si="38"/>
        <v/>
      </c>
      <c r="N54" s="230" t="str">
        <f t="shared" si="38"/>
        <v/>
      </c>
      <c r="O54" s="230" t="str">
        <f t="shared" si="38"/>
        <v/>
      </c>
      <c r="P54" s="230" t="str">
        <f t="shared" si="38"/>
        <v/>
      </c>
      <c r="Q54" s="230" t="str">
        <f t="shared" si="38"/>
        <v/>
      </c>
      <c r="R54" s="230" t="str">
        <f t="shared" si="38"/>
        <v/>
      </c>
      <c r="S54" s="230" t="str">
        <f t="shared" si="38"/>
        <v/>
      </c>
      <c r="T54" s="230" t="str">
        <f t="shared" si="38"/>
        <v/>
      </c>
      <c r="U54" s="230" t="str">
        <f t="shared" si="38"/>
        <v/>
      </c>
      <c r="V54" s="230" t="str">
        <f t="shared" si="38"/>
        <v/>
      </c>
      <c r="W54" s="230" t="str">
        <f t="shared" si="38"/>
        <v/>
      </c>
      <c r="X54" s="230" t="str">
        <f t="shared" si="38"/>
        <v/>
      </c>
      <c r="Y54" s="230" t="str">
        <f t="shared" si="38"/>
        <v/>
      </c>
      <c r="Z54" s="230" t="str">
        <f t="shared" si="38"/>
        <v/>
      </c>
      <c r="AA54" s="7"/>
      <c r="AB54" s="7"/>
      <c r="AC54" s="6"/>
      <c r="AD54" s="3"/>
      <c r="AE54" s="3"/>
      <c r="AF54" s="3"/>
      <c r="AG54" s="3"/>
      <c r="AH54" s="3"/>
    </row>
    <row r="55" spans="1:34" s="15" customFormat="1" x14ac:dyDescent="0.2">
      <c r="A55" s="3"/>
      <c r="B55" s="3"/>
      <c r="C55" s="8"/>
      <c r="D55" s="7"/>
      <c r="E55" s="20" t="s">
        <v>209</v>
      </c>
      <c r="F55" s="228">
        <f>IFERROR(AVERAGE(F54:Z54),0)</f>
        <v>50.1</v>
      </c>
      <c r="G55" s="30"/>
      <c r="H55" s="24"/>
      <c r="I55" s="24"/>
      <c r="J55" s="24"/>
      <c r="K55" s="24"/>
      <c r="L55" s="24"/>
      <c r="M55" s="24"/>
      <c r="N55" s="24"/>
      <c r="O55" s="24"/>
      <c r="P55" s="24"/>
      <c r="Q55" s="24"/>
      <c r="R55" s="24"/>
      <c r="S55" s="24"/>
      <c r="T55" s="24"/>
      <c r="U55" s="24"/>
      <c r="V55" s="24"/>
      <c r="W55" s="24"/>
      <c r="X55" s="24"/>
      <c r="Y55" s="24"/>
      <c r="Z55" s="24"/>
      <c r="AA55" s="7"/>
      <c r="AB55" s="7"/>
      <c r="AC55" s="6"/>
      <c r="AD55" s="3"/>
      <c r="AE55" s="3"/>
      <c r="AF55" s="3"/>
      <c r="AG55" s="3"/>
      <c r="AH55" s="3"/>
    </row>
    <row r="56" spans="1:34" s="15" customFormat="1" x14ac:dyDescent="0.2">
      <c r="A56" s="3"/>
      <c r="B56" s="3"/>
      <c r="C56" s="32"/>
      <c r="D56" s="25"/>
      <c r="E56" s="33" t="s">
        <v>230</v>
      </c>
      <c r="F56" s="229">
        <f>IF(ISNUMBER(F55),(IF(ISBLANK($E$15),$F68,$E$13*ISNUMBER($E$13)+$E$14*ISNUMBER($E$14)*F55/100))/SQRT(COUNT(F54:Z54)),"")</f>
        <v>1.5030000000000001</v>
      </c>
      <c r="G56" s="32"/>
      <c r="H56" s="25"/>
      <c r="I56" s="25"/>
      <c r="J56" s="25"/>
      <c r="K56" s="25"/>
      <c r="L56" s="25"/>
      <c r="M56" s="25"/>
      <c r="N56" s="25"/>
      <c r="O56" s="25"/>
      <c r="P56" s="25"/>
      <c r="Q56" s="25"/>
      <c r="R56" s="25"/>
      <c r="S56" s="25"/>
      <c r="T56" s="25"/>
      <c r="U56" s="25"/>
      <c r="V56" s="25"/>
      <c r="W56" s="25"/>
      <c r="X56" s="25"/>
      <c r="Y56" s="25"/>
      <c r="Z56" s="25"/>
      <c r="AA56" s="7"/>
      <c r="AB56" s="7"/>
      <c r="AC56" s="6"/>
      <c r="AD56" s="3"/>
      <c r="AE56" s="3"/>
      <c r="AF56" s="3"/>
      <c r="AG56" s="3"/>
      <c r="AH56" s="3"/>
    </row>
    <row r="57" spans="1:34" s="15" customFormat="1" x14ac:dyDescent="0.2">
      <c r="A57" s="3"/>
      <c r="B57" s="3"/>
      <c r="C57" s="30"/>
      <c r="D57" s="24"/>
      <c r="E57" s="31" t="s">
        <v>9</v>
      </c>
      <c r="F57" s="9">
        <f t="shared" ref="F57:Z57" si="39">IF(OR(ISBLANK(F25),F25=0),"",F22)</f>
        <v>0.1</v>
      </c>
      <c r="G57" s="10">
        <f t="shared" si="39"/>
        <v>1</v>
      </c>
      <c r="H57" s="10" t="str">
        <f t="shared" si="39"/>
        <v/>
      </c>
      <c r="I57" s="10">
        <f t="shared" si="39"/>
        <v>3</v>
      </c>
      <c r="J57" s="10">
        <f t="shared" si="39"/>
        <v>4</v>
      </c>
      <c r="K57" s="10" t="str">
        <f t="shared" si="39"/>
        <v/>
      </c>
      <c r="L57" s="10">
        <f t="shared" si="39"/>
        <v>6</v>
      </c>
      <c r="M57" s="10">
        <f t="shared" si="39"/>
        <v>7</v>
      </c>
      <c r="N57" s="10" t="str">
        <f t="shared" si="39"/>
        <v/>
      </c>
      <c r="O57" s="10" t="str">
        <f t="shared" si="39"/>
        <v/>
      </c>
      <c r="P57" s="10">
        <f t="shared" si="39"/>
        <v>10</v>
      </c>
      <c r="Q57" s="10">
        <f t="shared" si="39"/>
        <v>11</v>
      </c>
      <c r="R57" s="10" t="str">
        <f t="shared" si="39"/>
        <v/>
      </c>
      <c r="S57" s="10" t="str">
        <f t="shared" si="39"/>
        <v/>
      </c>
      <c r="T57" s="10" t="str">
        <f t="shared" si="39"/>
        <v/>
      </c>
      <c r="U57" s="10" t="str">
        <f t="shared" si="39"/>
        <v/>
      </c>
      <c r="V57" s="10" t="str">
        <f t="shared" si="39"/>
        <v/>
      </c>
      <c r="W57" s="10" t="str">
        <f t="shared" si="39"/>
        <v/>
      </c>
      <c r="X57" s="10" t="str">
        <f t="shared" si="39"/>
        <v/>
      </c>
      <c r="Y57" s="10" t="str">
        <f t="shared" si="39"/>
        <v/>
      </c>
      <c r="Z57" s="10" t="str">
        <f t="shared" si="39"/>
        <v/>
      </c>
      <c r="AA57" s="7"/>
      <c r="AB57" s="7"/>
      <c r="AC57" s="6"/>
      <c r="AD57" s="3"/>
      <c r="AE57" s="3"/>
      <c r="AF57" s="3"/>
      <c r="AG57" s="3"/>
      <c r="AH57" s="3"/>
    </row>
    <row r="58" spans="1:34" s="15" customFormat="1" x14ac:dyDescent="0.2">
      <c r="A58" s="3"/>
      <c r="B58" s="3"/>
      <c r="C58" s="8"/>
      <c r="D58" s="7"/>
      <c r="E58" s="20" t="s">
        <v>10</v>
      </c>
      <c r="F58" s="9">
        <f t="shared" ref="F58:Z58" si="40">IF(OR(ISBLANK(F25),F25=0),"",F23)</f>
        <v>50.1</v>
      </c>
      <c r="G58" s="10">
        <f t="shared" si="40"/>
        <v>49.7</v>
      </c>
      <c r="H58" s="10" t="str">
        <f t="shared" si="40"/>
        <v/>
      </c>
      <c r="I58" s="10">
        <f t="shared" si="40"/>
        <v>48.3</v>
      </c>
      <c r="J58" s="10">
        <f t="shared" si="40"/>
        <v>47.5</v>
      </c>
      <c r="K58" s="10" t="str">
        <f t="shared" si="40"/>
        <v/>
      </c>
      <c r="L58" s="10">
        <f t="shared" si="40"/>
        <v>45.3</v>
      </c>
      <c r="M58" s="10">
        <f t="shared" si="40"/>
        <v>48</v>
      </c>
      <c r="N58" s="10" t="str">
        <f t="shared" si="40"/>
        <v/>
      </c>
      <c r="O58" s="10" t="str">
        <f t="shared" si="40"/>
        <v/>
      </c>
      <c r="P58" s="10">
        <f t="shared" si="40"/>
        <v>46</v>
      </c>
      <c r="Q58" s="10">
        <f t="shared" si="40"/>
        <v>43.8</v>
      </c>
      <c r="R58" s="10" t="str">
        <f t="shared" si="40"/>
        <v/>
      </c>
      <c r="S58" s="10" t="str">
        <f t="shared" si="40"/>
        <v/>
      </c>
      <c r="T58" s="10" t="str">
        <f t="shared" si="40"/>
        <v/>
      </c>
      <c r="U58" s="10" t="str">
        <f t="shared" si="40"/>
        <v/>
      </c>
      <c r="V58" s="10" t="str">
        <f t="shared" si="40"/>
        <v/>
      </c>
      <c r="W58" s="10" t="str">
        <f t="shared" si="40"/>
        <v/>
      </c>
      <c r="X58" s="10" t="str">
        <f t="shared" si="40"/>
        <v/>
      </c>
      <c r="Y58" s="10" t="str">
        <f t="shared" si="40"/>
        <v/>
      </c>
      <c r="Z58" s="10" t="str">
        <f t="shared" si="40"/>
        <v/>
      </c>
      <c r="AA58" s="7"/>
      <c r="AB58" s="7"/>
      <c r="AC58" s="3"/>
      <c r="AD58" s="3"/>
      <c r="AE58" s="3"/>
      <c r="AF58" s="3"/>
      <c r="AG58" s="3"/>
      <c r="AH58" s="3"/>
    </row>
    <row r="59" spans="1:34" s="15" customFormat="1" x14ac:dyDescent="0.2">
      <c r="A59" s="3"/>
      <c r="B59" s="3"/>
      <c r="C59" s="8"/>
      <c r="D59" s="7"/>
      <c r="E59" s="20" t="s">
        <v>11</v>
      </c>
      <c r="F59" s="217">
        <f t="shared" ref="F59:Z59" si="41">IF(ISNUMBER(F23),$F65+$F66*F22,"")</f>
        <v>49.8472133262417</v>
      </c>
      <c r="G59" s="218">
        <f t="shared" si="41"/>
        <v>49.409684610770995</v>
      </c>
      <c r="H59" s="218" t="str">
        <f t="shared" si="41"/>
        <v/>
      </c>
      <c r="I59" s="218">
        <f t="shared" si="41"/>
        <v>48.437398576391644</v>
      </c>
      <c r="J59" s="218">
        <f t="shared" si="41"/>
        <v>47.951255559201968</v>
      </c>
      <c r="K59" s="218" t="str">
        <f t="shared" si="41"/>
        <v/>
      </c>
      <c r="L59" s="218">
        <f t="shared" si="41"/>
        <v>46.978969524822617</v>
      </c>
      <c r="M59" s="218">
        <f t="shared" si="41"/>
        <v>46.492826507632948</v>
      </c>
      <c r="N59" s="218" t="str">
        <f t="shared" si="41"/>
        <v/>
      </c>
      <c r="O59" s="218" t="str">
        <f t="shared" si="41"/>
        <v/>
      </c>
      <c r="P59" s="218">
        <f t="shared" si="41"/>
        <v>45.034397456063921</v>
      </c>
      <c r="Q59" s="218">
        <f t="shared" si="41"/>
        <v>44.548254438874245</v>
      </c>
      <c r="R59" s="218">
        <f t="shared" si="41"/>
        <v>44.06211142168457</v>
      </c>
      <c r="S59" s="218">
        <f t="shared" si="41"/>
        <v>43.575968404494894</v>
      </c>
      <c r="T59" s="218">
        <f t="shared" si="41"/>
        <v>43.089825387305218</v>
      </c>
      <c r="U59" s="218">
        <f t="shared" si="41"/>
        <v>42.603682370115543</v>
      </c>
      <c r="V59" s="218">
        <f t="shared" si="41"/>
        <v>42.117539352925867</v>
      </c>
      <c r="W59" s="218">
        <f t="shared" si="41"/>
        <v>41.631396335736191</v>
      </c>
      <c r="X59" s="218">
        <f t="shared" si="41"/>
        <v>41.145253318546523</v>
      </c>
      <c r="Y59" s="218" t="str">
        <f t="shared" si="41"/>
        <v/>
      </c>
      <c r="Z59" s="218" t="str">
        <f t="shared" si="41"/>
        <v/>
      </c>
      <c r="AA59" s="7"/>
      <c r="AB59" s="27"/>
      <c r="AC59" s="6"/>
      <c r="AD59" s="3"/>
      <c r="AE59" s="3"/>
      <c r="AF59" s="3"/>
      <c r="AG59" s="3"/>
      <c r="AH59" s="3"/>
    </row>
    <row r="60" spans="1:34" s="15" customFormat="1" x14ac:dyDescent="0.2">
      <c r="A60" s="3"/>
      <c r="B60" s="3"/>
      <c r="C60" s="8"/>
      <c r="D60" s="7"/>
      <c r="E60" s="20" t="s">
        <v>15</v>
      </c>
      <c r="F60" s="9">
        <f>IF(ISNUMBER(F23),IF(ISBLANK($E$15),$F68,$E$13*ISNUMBER($E$13)+$E$14*ISNUMBER($E$14)*F23/100),"")</f>
        <v>1.5030000000000001</v>
      </c>
      <c r="G60" s="10">
        <f t="shared" ref="G60:Z60" si="42">IF(ISNUMBER(G23),IF(ISBLANK($E$15),$F68,$E$13*ISNUMBER($E$13)+$E$14*ISNUMBER($E$14)*G23/100),"")</f>
        <v>1.4910000000000003</v>
      </c>
      <c r="H60" s="10" t="str">
        <f t="shared" si="42"/>
        <v/>
      </c>
      <c r="I60" s="10">
        <f t="shared" si="42"/>
        <v>1.4489999999999998</v>
      </c>
      <c r="J60" s="10">
        <f t="shared" si="42"/>
        <v>1.425</v>
      </c>
      <c r="K60" s="10" t="str">
        <f t="shared" si="42"/>
        <v/>
      </c>
      <c r="L60" s="10">
        <f t="shared" si="42"/>
        <v>1.3589999999999998</v>
      </c>
      <c r="M60" s="10">
        <f t="shared" si="42"/>
        <v>1.44</v>
      </c>
      <c r="N60" s="10" t="str">
        <f t="shared" si="42"/>
        <v/>
      </c>
      <c r="O60" s="10" t="str">
        <f t="shared" si="42"/>
        <v/>
      </c>
      <c r="P60" s="10">
        <f t="shared" si="42"/>
        <v>1.38</v>
      </c>
      <c r="Q60" s="10">
        <f t="shared" si="42"/>
        <v>1.3139999999999998</v>
      </c>
      <c r="R60" s="10">
        <f t="shared" si="42"/>
        <v>1.395</v>
      </c>
      <c r="S60" s="10">
        <f t="shared" si="42"/>
        <v>1.4010000000000002</v>
      </c>
      <c r="T60" s="10">
        <f t="shared" si="42"/>
        <v>1.35</v>
      </c>
      <c r="U60" s="10">
        <f t="shared" si="42"/>
        <v>1.3710000000000002</v>
      </c>
      <c r="V60" s="10">
        <f t="shared" si="42"/>
        <v>1.2569999999999999</v>
      </c>
      <c r="W60" s="10">
        <f t="shared" si="42"/>
        <v>1.2060000000000002</v>
      </c>
      <c r="X60" s="10">
        <f t="shared" si="42"/>
        <v>1.194</v>
      </c>
      <c r="Y60" s="10" t="str">
        <f t="shared" si="42"/>
        <v/>
      </c>
      <c r="Z60" s="10" t="str">
        <f t="shared" si="42"/>
        <v/>
      </c>
      <c r="AA60" s="7"/>
      <c r="AB60" s="7"/>
      <c r="AC60" s="6"/>
      <c r="AD60" s="3"/>
      <c r="AE60" s="3"/>
      <c r="AF60" s="3"/>
      <c r="AG60" s="3"/>
      <c r="AH60" s="3"/>
    </row>
    <row r="61" spans="1:34" s="15" customFormat="1" x14ac:dyDescent="0.2">
      <c r="A61" s="3"/>
      <c r="B61" s="3"/>
      <c r="C61" s="8"/>
      <c r="D61" s="27"/>
      <c r="E61" s="20" t="s">
        <v>6</v>
      </c>
      <c r="F61" s="9">
        <f t="shared" ref="F61:Z61" si="43">IF(ISNUMBER(F23),F59+$E$16*ISNUMBER($E$16)+$E$17*ISNUMBER($E$17)*F59/100+$F$68*SQRT(1/$F72+1/($F72-1)*(F22-$F70)^2/$F71^2),"")</f>
        <v>51.744919394352415</v>
      </c>
      <c r="G61" s="10">
        <f t="shared" si="43"/>
        <v>51.224140805051789</v>
      </c>
      <c r="H61" s="10" t="str">
        <f t="shared" si="43"/>
        <v/>
      </c>
      <c r="I61" s="10">
        <f t="shared" si="43"/>
        <v>50.093946313505924</v>
      </c>
      <c r="J61" s="10">
        <f t="shared" si="43"/>
        <v>49.552015915067159</v>
      </c>
      <c r="K61" s="10" t="str">
        <f t="shared" si="43"/>
        <v/>
      </c>
      <c r="L61" s="10">
        <f t="shared" si="43"/>
        <v>48.541478145992485</v>
      </c>
      <c r="M61" s="10">
        <f t="shared" si="43"/>
        <v>48.075311338736789</v>
      </c>
      <c r="N61" s="10" t="str">
        <f t="shared" si="43"/>
        <v/>
      </c>
      <c r="O61" s="10" t="str">
        <f t="shared" si="43"/>
        <v/>
      </c>
      <c r="P61" s="10">
        <f t="shared" si="43"/>
        <v>46.776975695360484</v>
      </c>
      <c r="Q61" s="10">
        <f t="shared" si="43"/>
        <v>46.362134523722915</v>
      </c>
      <c r="R61" s="10">
        <f t="shared" si="43"/>
        <v>45.951781365530209</v>
      </c>
      <c r="S61" s="10">
        <f t="shared" si="43"/>
        <v>45.544570492184668</v>
      </c>
      <c r="T61" s="10">
        <f t="shared" si="43"/>
        <v>45.139619415535108</v>
      </c>
      <c r="U61" s="10">
        <f t="shared" si="43"/>
        <v>44.73633552306066</v>
      </c>
      <c r="V61" s="10">
        <f t="shared" si="43"/>
        <v>44.334310570805926</v>
      </c>
      <c r="W61" s="10">
        <f t="shared" si="43"/>
        <v>43.933256265721276</v>
      </c>
      <c r="X61" s="10">
        <f t="shared" si="43"/>
        <v>43.532964274058308</v>
      </c>
      <c r="Y61" s="10" t="str">
        <f t="shared" si="43"/>
        <v/>
      </c>
      <c r="Z61" s="10" t="str">
        <f t="shared" si="43"/>
        <v/>
      </c>
      <c r="AA61" s="7"/>
      <c r="AB61" s="7"/>
      <c r="AC61" s="6"/>
      <c r="AD61" s="3"/>
      <c r="AE61" s="3"/>
      <c r="AF61" s="3"/>
      <c r="AG61" s="3"/>
      <c r="AH61" s="3"/>
    </row>
    <row r="62" spans="1:34" s="15" customFormat="1" x14ac:dyDescent="0.2">
      <c r="A62" s="3"/>
      <c r="B62" s="3"/>
      <c r="C62" s="8"/>
      <c r="D62" s="27"/>
      <c r="E62" s="20" t="s">
        <v>7</v>
      </c>
      <c r="F62" s="9">
        <f t="shared" ref="F62:Z62" si="44">IF(ISNUMBER(F23),F59-$E$16*ISNUMBER($E$16)-$E$17*ISNUMBER($E$17)*F59/100-$F$68*SQRT(1/$F72+1/($F72-1)*(F22-$F70)^2/$F71^2),"")</f>
        <v>47.949507258130986</v>
      </c>
      <c r="G62" s="10">
        <f t="shared" si="44"/>
        <v>47.595228416490201</v>
      </c>
      <c r="H62" s="10" t="str">
        <f t="shared" si="44"/>
        <v/>
      </c>
      <c r="I62" s="10">
        <f t="shared" si="44"/>
        <v>46.780850839277363</v>
      </c>
      <c r="J62" s="10">
        <f t="shared" si="44"/>
        <v>46.350495203336777</v>
      </c>
      <c r="K62" s="10" t="str">
        <f t="shared" si="44"/>
        <v/>
      </c>
      <c r="L62" s="10">
        <f t="shared" si="44"/>
        <v>45.416460903652748</v>
      </c>
      <c r="M62" s="10">
        <f t="shared" si="44"/>
        <v>44.910341676529107</v>
      </c>
      <c r="N62" s="10" t="str">
        <f t="shared" si="44"/>
        <v/>
      </c>
      <c r="O62" s="10" t="str">
        <f t="shared" si="44"/>
        <v/>
      </c>
      <c r="P62" s="10">
        <f t="shared" si="44"/>
        <v>43.291819216767358</v>
      </c>
      <c r="Q62" s="10">
        <f t="shared" si="44"/>
        <v>42.734374354025576</v>
      </c>
      <c r="R62" s="10">
        <f t="shared" si="44"/>
        <v>42.17244147783893</v>
      </c>
      <c r="S62" s="10">
        <f t="shared" si="44"/>
        <v>41.60736631680512</v>
      </c>
      <c r="T62" s="10">
        <f t="shared" si="44"/>
        <v>41.040031359075329</v>
      </c>
      <c r="U62" s="10">
        <f t="shared" si="44"/>
        <v>40.471029217170425</v>
      </c>
      <c r="V62" s="10">
        <f t="shared" si="44"/>
        <v>39.900768135045809</v>
      </c>
      <c r="W62" s="10">
        <f t="shared" si="44"/>
        <v>39.329536405751107</v>
      </c>
      <c r="X62" s="10">
        <f t="shared" si="44"/>
        <v>38.757542363034737</v>
      </c>
      <c r="Y62" s="10" t="str">
        <f t="shared" si="44"/>
        <v/>
      </c>
      <c r="Z62" s="10" t="str">
        <f t="shared" si="44"/>
        <v/>
      </c>
      <c r="AA62" s="7"/>
      <c r="AB62" s="7"/>
      <c r="AC62" s="6"/>
      <c r="AD62" s="3"/>
      <c r="AE62" s="3"/>
      <c r="AF62" s="3"/>
      <c r="AG62" s="3"/>
      <c r="AH62" s="3"/>
    </row>
    <row r="63" spans="1:34" s="15" customFormat="1" x14ac:dyDescent="0.2">
      <c r="A63" s="3"/>
      <c r="B63" s="3"/>
      <c r="C63" s="8"/>
      <c r="D63" s="7"/>
      <c r="E63" s="20" t="s">
        <v>1</v>
      </c>
      <c r="F63" s="10">
        <f t="shared" ref="F63:Z63" si="45">IF(ISNUMBER(F23),SQRT(F60^2+$F68^2*(1/$F72+1/($F72-1)*(F22-$F70)^2/$F71^2)),"")</f>
        <v>1.6381375959632407</v>
      </c>
      <c r="G63" s="10">
        <f t="shared" si="45"/>
        <v>1.5995530467368591</v>
      </c>
      <c r="H63" s="10" t="str">
        <f t="shared" si="45"/>
        <v/>
      </c>
      <c r="I63" s="10">
        <f t="shared" si="45"/>
        <v>1.5159722105623792</v>
      </c>
      <c r="J63" s="10">
        <f t="shared" si="45"/>
        <v>1.480612065943691</v>
      </c>
      <c r="K63" s="10" t="str">
        <f t="shared" si="45"/>
        <v/>
      </c>
      <c r="L63" s="10">
        <f t="shared" si="45"/>
        <v>1.4133123088788451</v>
      </c>
      <c r="M63" s="10">
        <f t="shared" si="45"/>
        <v>1.5000459754348212</v>
      </c>
      <c r="N63" s="10" t="str">
        <f t="shared" si="45"/>
        <v/>
      </c>
      <c r="O63" s="10" t="str">
        <f t="shared" si="45"/>
        <v/>
      </c>
      <c r="P63" s="10">
        <f t="shared" si="45"/>
        <v>1.5115361276283301</v>
      </c>
      <c r="Q63" s="10">
        <f t="shared" si="45"/>
        <v>1.4889053843705196</v>
      </c>
      <c r="R63" s="10">
        <f t="shared" si="45"/>
        <v>1.602233957701694</v>
      </c>
      <c r="S63" s="10">
        <f t="shared" si="45"/>
        <v>1.6540249997930427</v>
      </c>
      <c r="T63" s="10">
        <f t="shared" si="45"/>
        <v>1.6638360429415353</v>
      </c>
      <c r="U63" s="10">
        <f t="shared" si="45"/>
        <v>1.7376212731102685</v>
      </c>
      <c r="V63" s="10">
        <f t="shared" si="45"/>
        <v>1.7130544745752787</v>
      </c>
      <c r="W63" s="10">
        <f t="shared" si="45"/>
        <v>1.7449201156736234</v>
      </c>
      <c r="X63" s="10">
        <f t="shared" si="45"/>
        <v>1.8090697665998259</v>
      </c>
      <c r="Y63" s="10" t="str">
        <f t="shared" si="45"/>
        <v/>
      </c>
      <c r="Z63" s="10" t="str">
        <f t="shared" si="45"/>
        <v/>
      </c>
      <c r="AA63" s="7"/>
      <c r="AB63" s="7"/>
      <c r="AC63" s="6"/>
      <c r="AD63" s="3"/>
      <c r="AE63" s="3"/>
      <c r="AF63" s="3"/>
      <c r="AG63" s="3"/>
      <c r="AH63" s="3"/>
    </row>
    <row r="64" spans="1:34" s="15" customFormat="1" x14ac:dyDescent="0.2">
      <c r="A64" s="3"/>
      <c r="B64" s="3"/>
      <c r="C64" s="32"/>
      <c r="D64" s="25"/>
      <c r="E64" s="33" t="s">
        <v>16</v>
      </c>
      <c r="F64" s="11">
        <f t="shared" ref="F64:Z64" si="46">IF(ISNUMBER(F23),($F68^2*(1/$F72+1/($F72-1)*(F22-$F70)^2/$F71^2)+IF(ISBLANK($E$15),0,($E$13*ISNUMBER($E$13)+$E$14*ISNUMBER($E$14)*F59/100)^2))^2/(($F68^2*(1/$F72+1/($F72-1)*(F22-$F70)^2/$F71^2))^2/($F72-2)+IF(ISBLANK($E$15),0,($E$13*ISNUMBER($E$13)+$E$14*ISNUMBER($E$14)*F59/100)^4/$E$15)),"")</f>
        <v>24.143016794664494</v>
      </c>
      <c r="G64" s="46">
        <f t="shared" si="46"/>
        <v>23.509526472871968</v>
      </c>
      <c r="H64" s="46" t="str">
        <f t="shared" si="46"/>
        <v/>
      </c>
      <c r="I64" s="46">
        <f t="shared" si="46"/>
        <v>22.122021918259147</v>
      </c>
      <c r="J64" s="46">
        <f t="shared" si="46"/>
        <v>21.664756025147657</v>
      </c>
      <c r="K64" s="46" t="str">
        <f t="shared" si="46"/>
        <v/>
      </c>
      <c r="L64" s="46">
        <f t="shared" si="46"/>
        <v>21.596740421438316</v>
      </c>
      <c r="M64" s="46">
        <f t="shared" si="46"/>
        <v>22.030302778314969</v>
      </c>
      <c r="N64" s="46" t="str">
        <f t="shared" si="46"/>
        <v/>
      </c>
      <c r="O64" s="46" t="str">
        <f t="shared" si="46"/>
        <v/>
      </c>
      <c r="P64" s="46">
        <f t="shared" si="46"/>
        <v>24.389698717677575</v>
      </c>
      <c r="Q64" s="46">
        <f t="shared" si="46"/>
        <v>24.917096294101128</v>
      </c>
      <c r="R64" s="46">
        <f t="shared" si="46"/>
        <v>24.932323846014842</v>
      </c>
      <c r="S64" s="46">
        <f t="shared" si="46"/>
        <v>24.319441190962909</v>
      </c>
      <c r="T64" s="46">
        <f t="shared" si="46"/>
        <v>23.129930859015928</v>
      </c>
      <c r="U64" s="46">
        <f t="shared" si="46"/>
        <v>21.547430234035794</v>
      </c>
      <c r="V64" s="46">
        <f t="shared" si="46"/>
        <v>19.795077092511534</v>
      </c>
      <c r="W64" s="46">
        <f t="shared" si="46"/>
        <v>18.056765255884699</v>
      </c>
      <c r="X64" s="46">
        <f t="shared" si="46"/>
        <v>16.447134368946383</v>
      </c>
      <c r="Y64" s="46" t="str">
        <f t="shared" si="46"/>
        <v/>
      </c>
      <c r="Z64" s="46" t="str">
        <f t="shared" si="46"/>
        <v/>
      </c>
      <c r="AA64" s="7"/>
      <c r="AB64" s="7"/>
      <c r="AC64" s="6"/>
      <c r="AD64" s="3"/>
      <c r="AE64" s="3"/>
      <c r="AF64" s="3"/>
      <c r="AG64" s="3"/>
      <c r="AH64" s="3"/>
    </row>
    <row r="65" spans="1:34" s="15" customFormat="1" x14ac:dyDescent="0.2">
      <c r="A65" s="3"/>
      <c r="B65" s="3"/>
      <c r="C65" s="30"/>
      <c r="D65" s="24"/>
      <c r="E65" s="31" t="s">
        <v>18</v>
      </c>
      <c r="F65" s="47">
        <f>INTERCEPT(F58:Z58,F22:Z22)</f>
        <v>49.895827627960671</v>
      </c>
      <c r="G65" s="116"/>
      <c r="H65" s="116"/>
      <c r="I65" s="116"/>
      <c r="J65" s="116"/>
      <c r="K65" s="116"/>
      <c r="L65" s="116"/>
      <c r="M65" s="116"/>
      <c r="N65" s="116"/>
      <c r="O65" s="116"/>
      <c r="P65" s="116"/>
      <c r="Q65" s="116"/>
      <c r="R65" s="116"/>
      <c r="S65" s="116"/>
      <c r="T65" s="116"/>
      <c r="U65" s="116"/>
      <c r="V65" s="116"/>
      <c r="W65" s="116"/>
      <c r="X65" s="116"/>
      <c r="Y65" s="116"/>
      <c r="Z65" s="116"/>
      <c r="AA65" s="7"/>
      <c r="AB65" s="7"/>
      <c r="AC65" s="6"/>
      <c r="AD65" s="3"/>
      <c r="AE65" s="3"/>
      <c r="AF65" s="3"/>
      <c r="AG65" s="3"/>
      <c r="AH65" s="3"/>
    </row>
    <row r="66" spans="1:34" s="15" customFormat="1" x14ac:dyDescent="0.2">
      <c r="A66" s="3"/>
      <c r="B66" s="3"/>
      <c r="C66" s="8"/>
      <c r="D66" s="7"/>
      <c r="E66" s="20" t="s">
        <v>17</v>
      </c>
      <c r="F66" s="48">
        <f>SLOPE(F58:Z58,F22:Z22)</f>
        <v>-0.48614301718967512</v>
      </c>
      <c r="G66" s="144"/>
      <c r="H66" s="144"/>
      <c r="I66" s="144"/>
      <c r="J66" s="144"/>
      <c r="K66" s="144"/>
      <c r="L66" s="144"/>
      <c r="M66" s="144"/>
      <c r="N66" s="144"/>
      <c r="O66" s="144"/>
      <c r="P66" s="144"/>
      <c r="Q66" s="144"/>
      <c r="R66" s="144"/>
      <c r="S66" s="144"/>
      <c r="T66" s="144"/>
      <c r="U66" s="144"/>
      <c r="V66" s="144"/>
      <c r="W66" s="144"/>
      <c r="X66" s="144"/>
      <c r="Y66" s="144"/>
      <c r="Z66" s="144"/>
      <c r="AA66" s="7"/>
      <c r="AB66" s="7"/>
      <c r="AC66" s="6"/>
      <c r="AD66" s="3"/>
      <c r="AE66" s="3"/>
      <c r="AF66" s="3"/>
      <c r="AG66" s="3"/>
      <c r="AH66" s="3"/>
    </row>
    <row r="67" spans="1:34" s="15" customFormat="1" x14ac:dyDescent="0.2">
      <c r="A67" s="3"/>
      <c r="B67" s="3"/>
      <c r="C67" s="8"/>
      <c r="D67" s="7"/>
      <c r="E67" s="20" t="s">
        <v>31</v>
      </c>
      <c r="F67" s="48">
        <f>F68/F71/SQRT(F72-1)</f>
        <v>0.10242956878516936</v>
      </c>
      <c r="G67" s="144"/>
      <c r="H67" s="144"/>
      <c r="I67" s="144"/>
      <c r="J67" s="144"/>
      <c r="K67" s="144"/>
      <c r="L67" s="144"/>
      <c r="M67" s="144"/>
      <c r="N67" s="144"/>
      <c r="O67" s="144"/>
      <c r="P67" s="144"/>
      <c r="Q67" s="144"/>
      <c r="R67" s="144"/>
      <c r="S67" s="144"/>
      <c r="T67" s="144"/>
      <c r="U67" s="144"/>
      <c r="V67" s="144"/>
      <c r="W67" s="144"/>
      <c r="X67" s="144"/>
      <c r="Y67" s="144"/>
      <c r="Z67" s="144"/>
      <c r="AA67" s="7"/>
      <c r="AB67" s="7"/>
      <c r="AC67" s="6"/>
      <c r="AD67" s="3"/>
      <c r="AE67" s="3"/>
      <c r="AF67" s="3"/>
      <c r="AG67" s="3"/>
      <c r="AH67" s="3"/>
    </row>
    <row r="68" spans="1:34" s="15" customFormat="1" x14ac:dyDescent="0.2">
      <c r="A68" s="3"/>
      <c r="B68" s="3"/>
      <c r="C68" s="8"/>
      <c r="D68" s="7"/>
      <c r="E68" s="20" t="s">
        <v>19</v>
      </c>
      <c r="F68" s="62">
        <f>STEYX(F58:Z58,F57:Z57)</f>
        <v>1.0765281894192678</v>
      </c>
      <c r="G68" s="144"/>
      <c r="H68" s="144"/>
      <c r="I68" s="144"/>
      <c r="J68" s="144"/>
      <c r="K68" s="144"/>
      <c r="L68" s="144"/>
      <c r="M68" s="144"/>
      <c r="N68" s="144"/>
      <c r="O68" s="144"/>
      <c r="P68" s="144"/>
      <c r="Q68" s="144"/>
      <c r="R68" s="144"/>
      <c r="S68" s="144"/>
      <c r="T68" s="144"/>
      <c r="U68" s="144"/>
      <c r="V68" s="144"/>
      <c r="W68" s="144"/>
      <c r="X68" s="144"/>
      <c r="Y68" s="144"/>
      <c r="Z68" s="144"/>
      <c r="AA68" s="7"/>
      <c r="AB68" s="7"/>
      <c r="AC68" s="6"/>
      <c r="AD68" s="3"/>
      <c r="AE68" s="3"/>
      <c r="AF68" s="3"/>
      <c r="AG68" s="3"/>
      <c r="AH68" s="3"/>
    </row>
    <row r="69" spans="1:34" s="15" customFormat="1" x14ac:dyDescent="0.2">
      <c r="A69" s="3"/>
      <c r="B69" s="3"/>
      <c r="C69" s="8"/>
      <c r="D69" s="7"/>
      <c r="E69" s="20" t="s">
        <v>231</v>
      </c>
      <c r="F69" s="231">
        <f>IFERROR(AVERAGE(F58:Z58),0)</f>
        <v>47.337500000000006</v>
      </c>
      <c r="G69" s="144"/>
      <c r="H69" s="144"/>
      <c r="I69" s="144"/>
      <c r="J69" s="144"/>
      <c r="K69" s="144"/>
      <c r="L69" s="144"/>
      <c r="M69" s="144"/>
      <c r="N69" s="144"/>
      <c r="O69" s="144"/>
      <c r="P69" s="144"/>
      <c r="Q69" s="144"/>
      <c r="R69" s="144"/>
      <c r="S69" s="144"/>
      <c r="T69" s="144"/>
      <c r="U69" s="144"/>
      <c r="V69" s="144"/>
      <c r="W69" s="144"/>
      <c r="X69" s="144"/>
      <c r="Y69" s="144"/>
      <c r="Z69" s="144"/>
      <c r="AA69" s="7"/>
      <c r="AB69" s="7"/>
      <c r="AC69" s="6"/>
      <c r="AD69" s="3"/>
      <c r="AE69" s="3"/>
      <c r="AF69" s="3"/>
      <c r="AG69" s="3"/>
      <c r="AH69" s="3"/>
    </row>
    <row r="70" spans="1:34" s="15" customFormat="1" x14ac:dyDescent="0.2">
      <c r="A70" s="3"/>
      <c r="B70" s="3"/>
      <c r="C70" s="8"/>
      <c r="D70" s="7"/>
      <c r="E70" s="20" t="s">
        <v>2</v>
      </c>
      <c r="F70" s="49">
        <f>AVERAGE(F57:Z57)</f>
        <v>5.2625000000000002</v>
      </c>
      <c r="G70" s="144"/>
      <c r="H70" s="144"/>
      <c r="I70" s="144"/>
      <c r="J70" s="144"/>
      <c r="K70" s="144"/>
      <c r="L70" s="144"/>
      <c r="M70" s="144"/>
      <c r="N70" s="144"/>
      <c r="O70" s="144"/>
      <c r="P70" s="144"/>
      <c r="Q70" s="144"/>
      <c r="R70" s="144"/>
      <c r="S70" s="144"/>
      <c r="T70" s="144"/>
      <c r="U70" s="144"/>
      <c r="V70" s="144"/>
      <c r="W70" s="144"/>
      <c r="X70" s="144"/>
      <c r="Y70" s="144"/>
      <c r="Z70" s="144"/>
      <c r="AA70" s="7"/>
      <c r="AB70" s="7"/>
      <c r="AC70" s="6"/>
      <c r="AD70" s="3"/>
      <c r="AE70" s="3"/>
      <c r="AF70" s="3"/>
      <c r="AG70" s="3"/>
      <c r="AH70" s="3"/>
    </row>
    <row r="71" spans="1:34" s="15" customFormat="1" x14ac:dyDescent="0.2">
      <c r="A71" s="3"/>
      <c r="B71" s="7"/>
      <c r="C71" s="8"/>
      <c r="D71" s="7"/>
      <c r="E71" s="20" t="s">
        <v>3</v>
      </c>
      <c r="F71" s="49">
        <f>STDEV(F57:Z57)</f>
        <v>3.9723823366553508</v>
      </c>
      <c r="G71" s="144"/>
      <c r="H71" s="144"/>
      <c r="I71" s="144"/>
      <c r="J71" s="144"/>
      <c r="K71" s="144"/>
      <c r="L71" s="144"/>
      <c r="M71" s="144"/>
      <c r="N71" s="144"/>
      <c r="O71" s="144"/>
      <c r="P71" s="144"/>
      <c r="Q71" s="144"/>
      <c r="R71" s="144"/>
      <c r="S71" s="144"/>
      <c r="T71" s="144"/>
      <c r="U71" s="144"/>
      <c r="V71" s="144"/>
      <c r="W71" s="144"/>
      <c r="X71" s="144"/>
      <c r="Y71" s="144"/>
      <c r="Z71" s="144"/>
      <c r="AA71" s="7"/>
      <c r="AB71" s="7"/>
      <c r="AC71" s="6"/>
      <c r="AD71" s="3"/>
      <c r="AE71" s="3"/>
      <c r="AF71" s="3"/>
      <c r="AG71" s="3"/>
      <c r="AH71" s="3"/>
    </row>
    <row r="72" spans="1:34" s="15" customFormat="1" x14ac:dyDescent="0.2">
      <c r="A72" s="3"/>
      <c r="B72" s="3"/>
      <c r="C72" s="8"/>
      <c r="D72" s="7"/>
      <c r="E72" s="20" t="s">
        <v>4</v>
      </c>
      <c r="F72" s="49">
        <f>COUNT(F57:Z57)</f>
        <v>8</v>
      </c>
      <c r="G72" s="144"/>
      <c r="H72" s="144"/>
      <c r="I72" s="144"/>
      <c r="J72" s="144"/>
      <c r="K72" s="144"/>
      <c r="L72" s="144"/>
      <c r="M72" s="144"/>
      <c r="N72" s="144"/>
      <c r="O72" s="144"/>
      <c r="P72" s="144"/>
      <c r="Q72" s="144"/>
      <c r="R72" s="144"/>
      <c r="S72" s="144"/>
      <c r="T72" s="144"/>
      <c r="U72" s="144"/>
      <c r="V72" s="144"/>
      <c r="W72" s="144"/>
      <c r="X72" s="144"/>
      <c r="Y72" s="144"/>
      <c r="Z72" s="144"/>
      <c r="AA72" s="7"/>
      <c r="AB72" s="7"/>
      <c r="AC72" s="6"/>
      <c r="AD72" s="3"/>
      <c r="AE72" s="3"/>
      <c r="AF72" s="3"/>
      <c r="AG72" s="3"/>
      <c r="AH72" s="3"/>
    </row>
    <row r="73" spans="1:34" s="15" customFormat="1" x14ac:dyDescent="0.2">
      <c r="A73" s="3"/>
      <c r="B73" s="3"/>
      <c r="C73" s="8"/>
      <c r="D73" s="7"/>
      <c r="E73" s="20" t="s">
        <v>12</v>
      </c>
      <c r="F73" s="49">
        <f>MIN(F57:Z57)</f>
        <v>0.1</v>
      </c>
      <c r="G73" s="144"/>
      <c r="H73" s="144"/>
      <c r="I73" s="144"/>
      <c r="J73" s="144"/>
      <c r="K73" s="144"/>
      <c r="L73" s="144"/>
      <c r="M73" s="144"/>
      <c r="N73" s="144"/>
      <c r="O73" s="144"/>
      <c r="P73" s="144"/>
      <c r="Q73" s="144"/>
      <c r="R73" s="144"/>
      <c r="S73" s="144"/>
      <c r="T73" s="144"/>
      <c r="U73" s="144"/>
      <c r="V73" s="144"/>
      <c r="W73" s="144"/>
      <c r="X73" s="144"/>
      <c r="Y73" s="144"/>
      <c r="Z73" s="144"/>
      <c r="AA73" s="7"/>
      <c r="AB73" s="7"/>
      <c r="AC73" s="6"/>
      <c r="AD73" s="3"/>
      <c r="AE73" s="3"/>
      <c r="AF73" s="3"/>
      <c r="AG73" s="3"/>
      <c r="AH73" s="3"/>
    </row>
    <row r="74" spans="1:34" s="15" customFormat="1" x14ac:dyDescent="0.2">
      <c r="A74" s="3"/>
      <c r="B74" s="3"/>
      <c r="C74" s="8"/>
      <c r="D74" s="7"/>
      <c r="E74" s="20" t="s">
        <v>13</v>
      </c>
      <c r="F74" s="49">
        <f>MAX(F57:Z57)</f>
        <v>11</v>
      </c>
      <c r="G74" s="144"/>
      <c r="H74" s="144"/>
      <c r="I74" s="144"/>
      <c r="J74" s="144"/>
      <c r="K74" s="144"/>
      <c r="L74" s="144"/>
      <c r="M74" s="144"/>
      <c r="N74" s="144"/>
      <c r="O74" s="144"/>
      <c r="P74" s="144"/>
      <c r="Q74" s="144"/>
      <c r="R74" s="144"/>
      <c r="S74" s="144"/>
      <c r="T74" s="144"/>
      <c r="U74" s="144"/>
      <c r="V74" s="144"/>
      <c r="W74" s="144"/>
      <c r="X74" s="144"/>
      <c r="Y74" s="144"/>
      <c r="Z74" s="144"/>
      <c r="AA74" s="7"/>
      <c r="AB74" s="7"/>
      <c r="AC74" s="6"/>
      <c r="AD74" s="3"/>
      <c r="AE74" s="3"/>
      <c r="AF74" s="3"/>
      <c r="AG74" s="3"/>
      <c r="AH74" s="3"/>
    </row>
    <row r="75" spans="1:34" s="15" customFormat="1" x14ac:dyDescent="0.2">
      <c r="A75" s="3"/>
      <c r="B75" s="3"/>
      <c r="C75" s="8"/>
      <c r="D75" s="7"/>
      <c r="E75" s="20" t="s">
        <v>20</v>
      </c>
      <c r="F75" s="49">
        <f>HLOOKUP(F73,F57:Z59,3)</f>
        <v>49.8472133262417</v>
      </c>
      <c r="G75" s="144"/>
      <c r="H75" s="144"/>
      <c r="I75" s="144"/>
      <c r="J75" s="144"/>
      <c r="K75" s="144"/>
      <c r="L75" s="144"/>
      <c r="M75" s="144"/>
      <c r="N75" s="144"/>
      <c r="O75" s="144"/>
      <c r="P75" s="144"/>
      <c r="Q75" s="144"/>
      <c r="R75" s="144"/>
      <c r="S75" s="144"/>
      <c r="T75" s="144"/>
      <c r="U75" s="144"/>
      <c r="V75" s="144"/>
      <c r="W75" s="144"/>
      <c r="X75" s="144"/>
      <c r="Y75" s="144"/>
      <c r="Z75" s="144"/>
      <c r="AA75" s="7"/>
      <c r="AB75" s="7"/>
      <c r="AC75" s="6"/>
      <c r="AD75" s="3"/>
      <c r="AE75" s="3"/>
      <c r="AF75" s="3"/>
      <c r="AG75" s="3"/>
      <c r="AH75" s="3"/>
    </row>
    <row r="76" spans="1:34" s="15" customFormat="1" x14ac:dyDescent="0.2">
      <c r="A76" s="3"/>
      <c r="B76" s="3"/>
      <c r="C76" s="32"/>
      <c r="D76" s="25"/>
      <c r="E76" s="33" t="s">
        <v>21</v>
      </c>
      <c r="F76" s="50">
        <f>HLOOKUP(F74,F57:Z59,3)</f>
        <v>44.548254438874245</v>
      </c>
      <c r="G76" s="147"/>
      <c r="H76" s="147"/>
      <c r="I76" s="147"/>
      <c r="J76" s="147"/>
      <c r="K76" s="147"/>
      <c r="L76" s="147"/>
      <c r="M76" s="147"/>
      <c r="N76" s="147"/>
      <c r="O76" s="147"/>
      <c r="P76" s="147"/>
      <c r="Q76" s="147"/>
      <c r="R76" s="147"/>
      <c r="S76" s="147"/>
      <c r="T76" s="147"/>
      <c r="U76" s="147"/>
      <c r="V76" s="147"/>
      <c r="W76" s="147"/>
      <c r="X76" s="147"/>
      <c r="Y76" s="147"/>
      <c r="Z76" s="147"/>
      <c r="AA76" s="7"/>
      <c r="AB76" s="7"/>
      <c r="AC76" s="6"/>
      <c r="AD76" s="3"/>
      <c r="AE76" s="3"/>
      <c r="AF76" s="3"/>
      <c r="AG76" s="3"/>
      <c r="AH76" s="3"/>
    </row>
    <row r="77" spans="1:34" s="15" customFormat="1" x14ac:dyDescent="0.2">
      <c r="A77" s="3"/>
      <c r="B77" s="3"/>
      <c r="C77" s="7" t="s">
        <v>53</v>
      </c>
      <c r="D77" s="7"/>
      <c r="E77" s="94" t="s">
        <v>55</v>
      </c>
      <c r="F77" s="5"/>
      <c r="G77" s="5"/>
      <c r="H77" s="5"/>
      <c r="I77" s="5"/>
      <c r="J77" s="5"/>
      <c r="K77" s="5"/>
      <c r="L77" s="5"/>
      <c r="M77" s="5"/>
      <c r="N77" s="5"/>
      <c r="O77" s="5"/>
      <c r="P77" s="5"/>
      <c r="Q77" s="5"/>
      <c r="R77" s="5"/>
      <c r="S77" s="5"/>
      <c r="T77" s="5"/>
      <c r="U77" s="5"/>
      <c r="V77" s="5"/>
      <c r="W77" s="5"/>
      <c r="X77" s="5"/>
      <c r="Y77" s="5"/>
      <c r="Z77" s="5"/>
      <c r="AA77" s="7"/>
      <c r="AB77" s="3"/>
      <c r="AC77" s="6"/>
      <c r="AD77" s="3"/>
      <c r="AE77" s="3"/>
      <c r="AF77" s="3"/>
      <c r="AG77" s="3"/>
      <c r="AH77" s="3"/>
    </row>
    <row r="78" spans="1:34" x14ac:dyDescent="0.2">
      <c r="C78" s="30"/>
      <c r="D78" s="31" t="s">
        <v>56</v>
      </c>
      <c r="E78" s="47">
        <f>SUM(F78:Z78)</f>
        <v>4</v>
      </c>
      <c r="F78" s="74" t="str">
        <f t="shared" ref="F78:Z78" si="47">IF(AND(ISBLANK(F25),(F42&lt;&gt;0)),1,"")</f>
        <v/>
      </c>
      <c r="G78" s="74" t="str">
        <f t="shared" si="47"/>
        <v/>
      </c>
      <c r="H78" s="74" t="str">
        <f t="shared" si="47"/>
        <v/>
      </c>
      <c r="I78" s="74" t="str">
        <f t="shared" si="47"/>
        <v/>
      </c>
      <c r="J78" s="74" t="str">
        <f t="shared" si="47"/>
        <v/>
      </c>
      <c r="K78" s="74" t="str">
        <f t="shared" si="47"/>
        <v/>
      </c>
      <c r="L78" s="74" t="str">
        <f t="shared" si="47"/>
        <v/>
      </c>
      <c r="M78" s="74" t="str">
        <f t="shared" si="47"/>
        <v/>
      </c>
      <c r="N78" s="74" t="str">
        <f t="shared" si="47"/>
        <v/>
      </c>
      <c r="O78" s="74" t="str">
        <f t="shared" si="47"/>
        <v/>
      </c>
      <c r="P78" s="74" t="str">
        <f t="shared" si="47"/>
        <v/>
      </c>
      <c r="Q78" s="74" t="str">
        <f t="shared" si="47"/>
        <v/>
      </c>
      <c r="R78" s="74">
        <f t="shared" si="47"/>
        <v>1</v>
      </c>
      <c r="S78" s="74">
        <f t="shared" si="47"/>
        <v>1</v>
      </c>
      <c r="T78" s="74">
        <f t="shared" si="47"/>
        <v>1</v>
      </c>
      <c r="U78" s="74">
        <f t="shared" si="47"/>
        <v>1</v>
      </c>
      <c r="V78" s="74" t="str">
        <f t="shared" si="47"/>
        <v/>
      </c>
      <c r="W78" s="74" t="str">
        <f t="shared" si="47"/>
        <v/>
      </c>
      <c r="X78" s="74" t="str">
        <f t="shared" si="47"/>
        <v/>
      </c>
      <c r="Y78" s="74" t="str">
        <f t="shared" si="47"/>
        <v/>
      </c>
      <c r="Z78" s="74" t="str">
        <f t="shared" si="47"/>
        <v/>
      </c>
    </row>
    <row r="79" spans="1:34" x14ac:dyDescent="0.2">
      <c r="C79" s="8"/>
      <c r="D79" s="20" t="s">
        <v>59</v>
      </c>
      <c r="E79" s="226">
        <f>SUMPRODUCT($F$78:$Z$78,$F79:$Z79)/SUM($F$78:$Z$78)</f>
        <v>45.974999999999994</v>
      </c>
      <c r="F79" s="9" t="str">
        <f t="shared" ref="F79:Z79" si="48">IF(F78=1,F23,"")</f>
        <v/>
      </c>
      <c r="G79" s="10" t="str">
        <f t="shared" si="48"/>
        <v/>
      </c>
      <c r="H79" s="10" t="str">
        <f t="shared" si="48"/>
        <v/>
      </c>
      <c r="I79" s="10" t="str">
        <f t="shared" si="48"/>
        <v/>
      </c>
      <c r="J79" s="10" t="str">
        <f t="shared" si="48"/>
        <v/>
      </c>
      <c r="K79" s="10" t="str">
        <f t="shared" si="48"/>
        <v/>
      </c>
      <c r="L79" s="10" t="str">
        <f t="shared" si="48"/>
        <v/>
      </c>
      <c r="M79" s="10" t="str">
        <f t="shared" si="48"/>
        <v/>
      </c>
      <c r="N79" s="10" t="str">
        <f t="shared" si="48"/>
        <v/>
      </c>
      <c r="O79" s="10" t="str">
        <f t="shared" si="48"/>
        <v/>
      </c>
      <c r="P79" s="10" t="str">
        <f t="shared" si="48"/>
        <v/>
      </c>
      <c r="Q79" s="10" t="str">
        <f t="shared" si="48"/>
        <v/>
      </c>
      <c r="R79" s="10">
        <f t="shared" si="48"/>
        <v>46.5</v>
      </c>
      <c r="S79" s="10">
        <f t="shared" si="48"/>
        <v>46.7</v>
      </c>
      <c r="T79" s="10">
        <f t="shared" si="48"/>
        <v>45</v>
      </c>
      <c r="U79" s="10">
        <f t="shared" si="48"/>
        <v>45.7</v>
      </c>
      <c r="V79" s="10" t="str">
        <f t="shared" si="48"/>
        <v/>
      </c>
      <c r="W79" s="10" t="str">
        <f t="shared" si="48"/>
        <v/>
      </c>
      <c r="X79" s="10" t="str">
        <f t="shared" si="48"/>
        <v/>
      </c>
      <c r="Y79" s="10" t="str">
        <f t="shared" si="48"/>
        <v/>
      </c>
      <c r="Z79" s="10" t="str">
        <f t="shared" si="48"/>
        <v/>
      </c>
    </row>
    <row r="80" spans="1:34" x14ac:dyDescent="0.2">
      <c r="C80" s="8"/>
      <c r="D80" s="20" t="s">
        <v>52</v>
      </c>
      <c r="E80" s="49">
        <f>SUMPRODUCT($F$78:$Z$78,$F80:$Z80)/SUM($F$78:$Z$78)</f>
        <v>43.332896895900056</v>
      </c>
      <c r="F80" s="9" t="str">
        <f t="shared" ref="F80:Z80" si="49">IF(F78=1,F59,"")</f>
        <v/>
      </c>
      <c r="G80" s="10" t="str">
        <f t="shared" si="49"/>
        <v/>
      </c>
      <c r="H80" s="10" t="str">
        <f t="shared" si="49"/>
        <v/>
      </c>
      <c r="I80" s="10" t="str">
        <f t="shared" si="49"/>
        <v/>
      </c>
      <c r="J80" s="10" t="str">
        <f t="shared" si="49"/>
        <v/>
      </c>
      <c r="K80" s="10" t="str">
        <f t="shared" si="49"/>
        <v/>
      </c>
      <c r="L80" s="10" t="str">
        <f t="shared" si="49"/>
        <v/>
      </c>
      <c r="M80" s="10" t="str">
        <f t="shared" si="49"/>
        <v/>
      </c>
      <c r="N80" s="10" t="str">
        <f t="shared" si="49"/>
        <v/>
      </c>
      <c r="O80" s="10" t="str">
        <f t="shared" si="49"/>
        <v/>
      </c>
      <c r="P80" s="10" t="str">
        <f t="shared" si="49"/>
        <v/>
      </c>
      <c r="Q80" s="10" t="str">
        <f t="shared" si="49"/>
        <v/>
      </c>
      <c r="R80" s="10">
        <f t="shared" si="49"/>
        <v>44.06211142168457</v>
      </c>
      <c r="S80" s="10">
        <f t="shared" si="49"/>
        <v>43.575968404494894</v>
      </c>
      <c r="T80" s="10">
        <f t="shared" si="49"/>
        <v>43.089825387305218</v>
      </c>
      <c r="U80" s="10">
        <f t="shared" si="49"/>
        <v>42.603682370115543</v>
      </c>
      <c r="V80" s="10" t="str">
        <f t="shared" si="49"/>
        <v/>
      </c>
      <c r="W80" s="10" t="str">
        <f t="shared" si="49"/>
        <v/>
      </c>
      <c r="X80" s="10" t="str">
        <f t="shared" si="49"/>
        <v/>
      </c>
      <c r="Y80" s="10" t="str">
        <f t="shared" si="49"/>
        <v/>
      </c>
      <c r="Z80" s="10" t="str">
        <f t="shared" si="49"/>
        <v/>
      </c>
    </row>
    <row r="81" spans="3:26" x14ac:dyDescent="0.2">
      <c r="C81" s="8"/>
      <c r="D81" s="20" t="s">
        <v>96</v>
      </c>
      <c r="E81" s="49">
        <f>SQRT(SUMPRODUCT(F78:Z78,F81:Z81,F81:Z81)/SUM(F78:Z78))/SQRT(SUM(F78:Z78))</f>
        <v>0.6896995269680849</v>
      </c>
      <c r="F81" s="9" t="str">
        <f t="shared" ref="F81:Z81" si="50">IF(F78=1,F60,"")</f>
        <v/>
      </c>
      <c r="G81" s="10" t="str">
        <f t="shared" si="50"/>
        <v/>
      </c>
      <c r="H81" s="10" t="str">
        <f t="shared" si="50"/>
        <v/>
      </c>
      <c r="I81" s="10" t="str">
        <f t="shared" si="50"/>
        <v/>
      </c>
      <c r="J81" s="10" t="str">
        <f t="shared" si="50"/>
        <v/>
      </c>
      <c r="K81" s="10" t="str">
        <f t="shared" si="50"/>
        <v/>
      </c>
      <c r="L81" s="10" t="str">
        <f t="shared" si="50"/>
        <v/>
      </c>
      <c r="M81" s="10" t="str">
        <f t="shared" si="50"/>
        <v/>
      </c>
      <c r="N81" s="10" t="str">
        <f t="shared" si="50"/>
        <v/>
      </c>
      <c r="O81" s="10" t="str">
        <f t="shared" si="50"/>
        <v/>
      </c>
      <c r="P81" s="10" t="str">
        <f t="shared" si="50"/>
        <v/>
      </c>
      <c r="Q81" s="10" t="str">
        <f t="shared" si="50"/>
        <v/>
      </c>
      <c r="R81" s="10">
        <f t="shared" si="50"/>
        <v>1.395</v>
      </c>
      <c r="S81" s="10">
        <f t="shared" si="50"/>
        <v>1.4010000000000002</v>
      </c>
      <c r="T81" s="10">
        <f t="shared" si="50"/>
        <v>1.35</v>
      </c>
      <c r="U81" s="10">
        <f t="shared" si="50"/>
        <v>1.3710000000000002</v>
      </c>
      <c r="V81" s="10" t="str">
        <f t="shared" si="50"/>
        <v/>
      </c>
      <c r="W81" s="10" t="str">
        <f t="shared" si="50"/>
        <v/>
      </c>
      <c r="X81" s="10" t="str">
        <f t="shared" si="50"/>
        <v/>
      </c>
      <c r="Y81" s="10" t="str">
        <f t="shared" si="50"/>
        <v/>
      </c>
      <c r="Z81" s="10" t="str">
        <f t="shared" si="50"/>
        <v/>
      </c>
    </row>
    <row r="82" spans="3:26" x14ac:dyDescent="0.2">
      <c r="C82" s="8"/>
      <c r="D82" s="20" t="s">
        <v>1</v>
      </c>
      <c r="E82" s="49">
        <f>SQRT(E81^2+SUMPRODUCT($F$78:$Z$78,$F82:$Z82,$F82:$Z82)/SUM($F$78:$Z$78))</f>
        <v>1.1600005572961489</v>
      </c>
      <c r="F82" s="9" t="str">
        <f t="shared" ref="F82:Z82" si="51">IF(F78=1,$F68*SQRT(1/$F72+1/($F72-1)*(F22-$F70)^2/$F71^2),"")</f>
        <v/>
      </c>
      <c r="G82" s="10" t="str">
        <f t="shared" si="51"/>
        <v/>
      </c>
      <c r="H82" s="10" t="str">
        <f t="shared" si="51"/>
        <v/>
      </c>
      <c r="I82" s="10" t="str">
        <f t="shared" si="51"/>
        <v/>
      </c>
      <c r="J82" s="10" t="str">
        <f t="shared" si="51"/>
        <v/>
      </c>
      <c r="K82" s="10" t="str">
        <f t="shared" si="51"/>
        <v/>
      </c>
      <c r="L82" s="10" t="str">
        <f t="shared" si="51"/>
        <v/>
      </c>
      <c r="M82" s="10" t="str">
        <f t="shared" si="51"/>
        <v/>
      </c>
      <c r="N82" s="10" t="str">
        <f t="shared" si="51"/>
        <v/>
      </c>
      <c r="O82" s="10" t="str">
        <f t="shared" si="51"/>
        <v/>
      </c>
      <c r="P82" s="10" t="str">
        <f t="shared" si="51"/>
        <v/>
      </c>
      <c r="Q82" s="10" t="str">
        <f t="shared" si="51"/>
        <v/>
      </c>
      <c r="R82" s="10">
        <f t="shared" si="51"/>
        <v>0.78811715830353157</v>
      </c>
      <c r="S82" s="10">
        <f t="shared" si="51"/>
        <v>0.87920287757739624</v>
      </c>
      <c r="T82" s="10">
        <f t="shared" si="51"/>
        <v>0.97254839354725486</v>
      </c>
      <c r="U82" s="10">
        <f t="shared" si="51"/>
        <v>1.0675610936922295</v>
      </c>
      <c r="V82" s="10" t="str">
        <f t="shared" si="51"/>
        <v/>
      </c>
      <c r="W82" s="10" t="str">
        <f t="shared" si="51"/>
        <v/>
      </c>
      <c r="X82" s="10" t="str">
        <f t="shared" si="51"/>
        <v/>
      </c>
      <c r="Y82" s="10" t="str">
        <f t="shared" si="51"/>
        <v/>
      </c>
      <c r="Z82" s="10" t="str">
        <f t="shared" si="51"/>
        <v/>
      </c>
    </row>
    <row r="83" spans="3:26" x14ac:dyDescent="0.2">
      <c r="C83" s="32"/>
      <c r="D83" s="33" t="s">
        <v>54</v>
      </c>
      <c r="E83" s="100">
        <f>SUMPRODUCT($F$78:$Z$78,$F83:$Z83)/SUM($F$78:$Z$78)</f>
        <v>23.482281532507372</v>
      </c>
      <c r="F83" s="75" t="str">
        <f t="shared" ref="F83:Z83" si="52">IF(F78=1,F64,"")</f>
        <v/>
      </c>
      <c r="G83" s="76" t="str">
        <f t="shared" si="52"/>
        <v/>
      </c>
      <c r="H83" s="76" t="str">
        <f t="shared" si="52"/>
        <v/>
      </c>
      <c r="I83" s="76" t="str">
        <f t="shared" si="52"/>
        <v/>
      </c>
      <c r="J83" s="76" t="str">
        <f t="shared" si="52"/>
        <v/>
      </c>
      <c r="K83" s="76" t="str">
        <f t="shared" si="52"/>
        <v/>
      </c>
      <c r="L83" s="76" t="str">
        <f t="shared" si="52"/>
        <v/>
      </c>
      <c r="M83" s="76" t="str">
        <f t="shared" si="52"/>
        <v/>
      </c>
      <c r="N83" s="76" t="str">
        <f t="shared" si="52"/>
        <v/>
      </c>
      <c r="O83" s="76" t="str">
        <f t="shared" si="52"/>
        <v/>
      </c>
      <c r="P83" s="76" t="str">
        <f t="shared" si="52"/>
        <v/>
      </c>
      <c r="Q83" s="76" t="str">
        <f t="shared" si="52"/>
        <v/>
      </c>
      <c r="R83" s="76">
        <f t="shared" si="52"/>
        <v>24.932323846014842</v>
      </c>
      <c r="S83" s="46">
        <f t="shared" si="52"/>
        <v>24.319441190962909</v>
      </c>
      <c r="T83" s="76">
        <f t="shared" si="52"/>
        <v>23.129930859015928</v>
      </c>
      <c r="U83" s="76">
        <f t="shared" si="52"/>
        <v>21.547430234035794</v>
      </c>
      <c r="V83" s="76" t="str">
        <f t="shared" si="52"/>
        <v/>
      </c>
      <c r="W83" s="76" t="str">
        <f t="shared" si="52"/>
        <v/>
      </c>
      <c r="X83" s="76" t="str">
        <f t="shared" si="52"/>
        <v/>
      </c>
      <c r="Y83" s="76" t="str">
        <f t="shared" si="52"/>
        <v/>
      </c>
      <c r="Z83" s="76" t="str">
        <f t="shared" si="52"/>
        <v/>
      </c>
    </row>
  </sheetData>
  <mergeCells count="4">
    <mergeCell ref="C38:C41"/>
    <mergeCell ref="C43:C46"/>
    <mergeCell ref="C32:C37"/>
    <mergeCell ref="C26:C31"/>
  </mergeCells>
  <pageMargins left="0.7" right="0.7" top="0.75" bottom="0.75" header="0.3" footer="0.3"/>
  <pageSetup paperSize="9" orientation="portrait" horizontalDpi="4294967293"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R56"/>
  <sheetViews>
    <sheetView topLeftCell="A25" zoomScaleNormal="100" workbookViewId="0"/>
  </sheetViews>
  <sheetFormatPr defaultRowHeight="15" x14ac:dyDescent="0.2"/>
  <cols>
    <col min="1" max="1" width="4.3046875" customWidth="1"/>
    <col min="2" max="2" width="10.22265625" customWidth="1"/>
    <col min="3" max="3" width="12.375" customWidth="1"/>
    <col min="4" max="4" width="5.24609375" customWidth="1"/>
    <col min="5" max="5" width="5.91796875" customWidth="1"/>
    <col min="6" max="6" width="5.6484375" customWidth="1"/>
    <col min="17" max="18" width="9.55078125" bestFit="1" customWidth="1"/>
  </cols>
  <sheetData>
    <row r="1" spans="1:16" x14ac:dyDescent="0.2">
      <c r="A1" s="17"/>
      <c r="B1" s="23" t="s">
        <v>195</v>
      </c>
      <c r="C1" s="23"/>
      <c r="D1" s="16"/>
      <c r="E1" s="16"/>
      <c r="F1" s="17"/>
      <c r="G1" s="17"/>
      <c r="H1" s="17"/>
      <c r="I1" s="17"/>
      <c r="J1" s="17"/>
      <c r="K1" s="17"/>
      <c r="L1" s="17"/>
      <c r="M1" s="17"/>
      <c r="N1" s="17"/>
      <c r="O1" s="17"/>
      <c r="P1" s="17"/>
    </row>
    <row r="2" spans="1:16" x14ac:dyDescent="0.2">
      <c r="A2" s="3"/>
      <c r="B2" s="112"/>
      <c r="C2" s="3"/>
      <c r="D2" s="3"/>
      <c r="E2" s="3"/>
      <c r="F2" s="3"/>
      <c r="G2" s="3"/>
      <c r="H2" s="3"/>
      <c r="I2" s="3"/>
      <c r="J2" s="3"/>
      <c r="K2" s="3"/>
      <c r="L2" s="3"/>
      <c r="M2" s="3"/>
      <c r="N2" s="3"/>
      <c r="O2" s="3"/>
      <c r="P2" s="3"/>
    </row>
    <row r="3" spans="1:16" x14ac:dyDescent="0.2">
      <c r="A3" s="3"/>
      <c r="B3" s="55" t="s">
        <v>138</v>
      </c>
      <c r="C3" s="5"/>
      <c r="D3" s="21"/>
      <c r="E3" s="5"/>
      <c r="F3" s="5"/>
      <c r="G3" s="5"/>
      <c r="H3" s="5"/>
      <c r="I3" s="5"/>
      <c r="J3" s="5"/>
      <c r="K3" s="5"/>
      <c r="L3" s="5"/>
      <c r="M3" s="5"/>
      <c r="N3" s="5"/>
      <c r="O3" s="5"/>
      <c r="P3" s="5"/>
    </row>
    <row r="4" spans="1:16" x14ac:dyDescent="0.2">
      <c r="A4" s="3"/>
      <c r="B4" s="55" t="s">
        <v>154</v>
      </c>
      <c r="C4" s="5"/>
      <c r="D4" s="21"/>
      <c r="E4" s="5"/>
      <c r="F4" s="5"/>
      <c r="G4" s="5"/>
      <c r="H4" s="5"/>
      <c r="I4" s="5"/>
      <c r="J4" s="5"/>
      <c r="K4" s="5"/>
      <c r="L4" s="5"/>
      <c r="M4" s="5"/>
      <c r="N4" s="5"/>
      <c r="O4" s="5"/>
      <c r="P4" s="5"/>
    </row>
    <row r="5" spans="1:16" x14ac:dyDescent="0.2">
      <c r="A5" s="3"/>
      <c r="B5" s="55" t="s">
        <v>135</v>
      </c>
      <c r="C5" s="5"/>
      <c r="D5" s="21"/>
      <c r="E5" s="5"/>
      <c r="F5" s="5"/>
      <c r="G5" s="5"/>
      <c r="H5" s="5"/>
      <c r="I5" s="5"/>
      <c r="J5" s="5"/>
      <c r="K5" s="5"/>
      <c r="L5" s="5"/>
      <c r="M5" s="5"/>
      <c r="N5" s="5"/>
      <c r="O5" s="5"/>
      <c r="P5" s="5"/>
    </row>
    <row r="6" spans="1:16" x14ac:dyDescent="0.2">
      <c r="A6" s="3"/>
      <c r="B6" s="55" t="s">
        <v>134</v>
      </c>
      <c r="C6" s="5"/>
      <c r="D6" s="21"/>
      <c r="E6" s="5"/>
      <c r="F6" s="5"/>
      <c r="G6" s="5"/>
      <c r="H6" s="5"/>
      <c r="I6" s="5"/>
      <c r="J6" s="5"/>
      <c r="K6" s="5"/>
      <c r="L6" s="5"/>
      <c r="M6" s="5"/>
      <c r="N6" s="5"/>
      <c r="O6" s="5"/>
      <c r="P6" s="5"/>
    </row>
    <row r="7" spans="1:16" x14ac:dyDescent="0.2">
      <c r="A7" s="3"/>
      <c r="B7" s="55" t="s">
        <v>147</v>
      </c>
      <c r="C7" s="5"/>
      <c r="D7" s="21"/>
      <c r="E7" s="5"/>
      <c r="F7" s="5"/>
      <c r="G7" s="5"/>
      <c r="H7" s="5"/>
      <c r="I7" s="5"/>
      <c r="J7" s="5"/>
      <c r="K7" s="5"/>
      <c r="L7" s="5"/>
      <c r="M7" s="5"/>
      <c r="N7" s="5"/>
      <c r="O7" s="5"/>
      <c r="P7" s="5"/>
    </row>
    <row r="8" spans="1:16" x14ac:dyDescent="0.2">
      <c r="A8" s="3"/>
      <c r="B8" s="55" t="s">
        <v>149</v>
      </c>
      <c r="C8" s="5"/>
      <c r="D8" s="21"/>
      <c r="E8" s="5"/>
      <c r="F8" s="5"/>
      <c r="G8" s="5"/>
      <c r="H8" s="5"/>
      <c r="I8" s="5"/>
      <c r="J8" s="5"/>
      <c r="K8" s="5"/>
      <c r="L8" s="5"/>
      <c r="M8" s="5"/>
      <c r="N8" s="5"/>
      <c r="O8" s="5"/>
      <c r="P8" s="5"/>
    </row>
    <row r="9" spans="1:16" x14ac:dyDescent="0.2">
      <c r="A9" s="3"/>
      <c r="B9" s="55"/>
      <c r="C9" s="5"/>
      <c r="D9" s="21"/>
      <c r="E9" s="5"/>
      <c r="F9" s="5"/>
      <c r="G9" s="5"/>
      <c r="H9" s="5"/>
      <c r="I9" s="5"/>
      <c r="J9" s="5"/>
      <c r="K9" s="5"/>
      <c r="L9" s="5"/>
      <c r="M9" s="5"/>
      <c r="N9" s="5"/>
      <c r="O9" s="5"/>
      <c r="P9" s="5"/>
    </row>
    <row r="10" spans="1:16" x14ac:dyDescent="0.2">
      <c r="A10" s="3"/>
      <c r="B10" s="30" t="s">
        <v>127</v>
      </c>
      <c r="C10" s="24"/>
      <c r="D10" s="26"/>
      <c r="E10" s="116"/>
      <c r="F10" s="117"/>
      <c r="G10" s="116"/>
      <c r="H10" s="116"/>
      <c r="I10" s="116"/>
      <c r="J10" s="116"/>
      <c r="K10" s="116"/>
      <c r="L10" s="116"/>
      <c r="M10" s="143"/>
      <c r="N10" s="5"/>
      <c r="O10" s="5"/>
      <c r="P10" s="5"/>
    </row>
    <row r="11" spans="1:16" x14ac:dyDescent="0.2">
      <c r="A11" s="3"/>
      <c r="B11" s="8"/>
      <c r="C11" s="7"/>
      <c r="D11" s="27" t="s">
        <v>70</v>
      </c>
      <c r="E11" s="136">
        <f>'Trend Data'!E4</f>
        <v>90</v>
      </c>
      <c r="F11" s="118" t="s">
        <v>126</v>
      </c>
      <c r="G11" s="7"/>
      <c r="H11" s="144"/>
      <c r="I11" s="144"/>
      <c r="J11" s="144"/>
      <c r="K11" s="144"/>
      <c r="L11" s="144"/>
      <c r="M11" s="145"/>
      <c r="N11" s="5"/>
      <c r="O11" s="5"/>
      <c r="P11" s="5"/>
    </row>
    <row r="12" spans="1:16" x14ac:dyDescent="0.2">
      <c r="A12" s="3"/>
      <c r="B12" s="8"/>
      <c r="C12" s="7"/>
      <c r="D12" s="115" t="s">
        <v>114</v>
      </c>
      <c r="E12" s="137" t="str">
        <f>E13&amp;"-"&amp;E11</f>
        <v>10-90</v>
      </c>
      <c r="F12" s="118" t="s">
        <v>129</v>
      </c>
      <c r="G12" s="144"/>
      <c r="H12" s="144"/>
      <c r="I12" s="144"/>
      <c r="J12" s="144"/>
      <c r="K12" s="144"/>
      <c r="L12" s="144"/>
      <c r="M12" s="145"/>
      <c r="N12" s="5"/>
      <c r="O12" s="5"/>
      <c r="P12" s="5"/>
    </row>
    <row r="13" spans="1:16" x14ac:dyDescent="0.2">
      <c r="A13" s="3"/>
      <c r="B13" s="8"/>
      <c r="C13" s="7"/>
      <c r="D13" s="115" t="s">
        <v>69</v>
      </c>
      <c r="E13" s="137">
        <f>100-E11</f>
        <v>10</v>
      </c>
      <c r="F13" s="118" t="s">
        <v>128</v>
      </c>
      <c r="G13" s="144"/>
      <c r="H13" s="144"/>
      <c r="I13" s="144"/>
      <c r="J13" s="144"/>
      <c r="K13" s="144"/>
      <c r="L13" s="146"/>
      <c r="M13" s="145"/>
      <c r="N13" s="5"/>
      <c r="O13" s="5"/>
      <c r="P13" s="5"/>
    </row>
    <row r="14" spans="1:16" x14ac:dyDescent="0.2">
      <c r="A14" s="3"/>
      <c r="B14" s="32" t="s">
        <v>125</v>
      </c>
      <c r="C14" s="25"/>
      <c r="D14" s="25"/>
      <c r="E14" s="25"/>
      <c r="F14" s="119"/>
      <c r="G14" s="147"/>
      <c r="H14" s="147"/>
      <c r="I14" s="147"/>
      <c r="J14" s="147"/>
      <c r="K14" s="147"/>
      <c r="L14" s="147"/>
      <c r="M14" s="148"/>
      <c r="N14" s="5"/>
      <c r="O14" s="5"/>
      <c r="P14" s="5"/>
    </row>
    <row r="15" spans="1:16" x14ac:dyDescent="0.2">
      <c r="A15" s="3"/>
      <c r="B15" s="7"/>
      <c r="C15" s="7"/>
      <c r="D15" s="7"/>
      <c r="E15" s="7"/>
      <c r="F15" s="7"/>
      <c r="G15" s="5"/>
      <c r="H15" s="5"/>
      <c r="I15" s="5"/>
      <c r="J15" s="5"/>
      <c r="K15" s="5"/>
      <c r="L15" s="5"/>
      <c r="M15" s="5"/>
      <c r="N15" s="5"/>
      <c r="O15" s="5"/>
      <c r="P15" s="5"/>
    </row>
    <row r="16" spans="1:16" x14ac:dyDescent="0.2">
      <c r="A16" s="3"/>
      <c r="B16" s="3"/>
      <c r="C16" s="7"/>
      <c r="D16" s="7"/>
      <c r="E16" s="92" t="s">
        <v>151</v>
      </c>
      <c r="F16" s="7"/>
      <c r="G16" s="5"/>
      <c r="H16" s="5"/>
      <c r="I16" s="6"/>
      <c r="J16" s="5"/>
      <c r="K16" s="5"/>
      <c r="L16" s="5"/>
      <c r="M16" s="5"/>
      <c r="N16" s="5"/>
      <c r="O16" s="5"/>
      <c r="P16" s="5"/>
    </row>
    <row r="17" spans="1:18" s="15" customFormat="1" x14ac:dyDescent="0.2">
      <c r="A17" s="3"/>
      <c r="B17" s="30"/>
      <c r="C17" s="26" t="s">
        <v>14</v>
      </c>
      <c r="D17" s="134">
        <f>IF(E17+E18=0,'Trend Data'!D13,IF(E17=0,D18/100*E38,E17))</f>
        <v>0.11493749999999998</v>
      </c>
      <c r="E17" s="61"/>
      <c r="F17" s="5"/>
      <c r="G17" s="5"/>
      <c r="H17" s="5"/>
      <c r="I17" s="6"/>
      <c r="J17" s="5"/>
      <c r="K17" s="5"/>
      <c r="L17" s="5"/>
      <c r="M17" s="5"/>
      <c r="N17" s="5"/>
      <c r="O17" s="5"/>
      <c r="P17" s="5"/>
    </row>
    <row r="18" spans="1:18" s="15" customFormat="1" x14ac:dyDescent="0.2">
      <c r="A18" s="3"/>
      <c r="B18" s="8"/>
      <c r="C18" s="20" t="s">
        <v>5</v>
      </c>
      <c r="D18" s="150">
        <f>IF(E17+E18=0,'Trend Data'!D14,IF(E18=0,D17/E38*100,E18))</f>
        <v>0.25</v>
      </c>
      <c r="E18" s="28">
        <v>0.25</v>
      </c>
      <c r="F18" s="138" t="str">
        <f>IF(AND(E17+E18=0,'Trend Data'!E13+'Trend Data'!E14&gt;0),"Typical error from Trend Data spreadsheet is used for chances.",IF(AND(E19="",E18+E17&gt;0),"Error: delete the typical error or insert degrees of freedom.",IF(AND(ISNUMBER(E17),ISNUMBER(E18)),"Error: insert either a raw or percent typical error, not both.","")))</f>
        <v/>
      </c>
      <c r="G18" s="5"/>
      <c r="H18" s="5"/>
      <c r="I18" s="6"/>
      <c r="J18" s="5"/>
      <c r="K18" s="5"/>
      <c r="L18" s="5"/>
      <c r="M18" s="5"/>
      <c r="N18" s="5"/>
      <c r="O18" s="5"/>
      <c r="P18" s="5"/>
    </row>
    <row r="19" spans="1:18" s="15" customFormat="1" x14ac:dyDescent="0.2">
      <c r="A19" s="3"/>
      <c r="B19" s="32"/>
      <c r="C19" s="33" t="s">
        <v>35</v>
      </c>
      <c r="D19" s="135">
        <f>IF(ISBLANK(E19),IF('Trend Data'!E15=0,'Trend Data'!F72-2,'Trend Data'!E15),E19)</f>
        <v>19</v>
      </c>
      <c r="E19" s="28">
        <v>19</v>
      </c>
      <c r="F19" s="139" t="str">
        <f>IF(AND(E17+E18=0,E19&gt;0),"Error: insert a raw or percent typical error or delete degrees of freedom.",IF(D19='Trend Data'!F72-2,"Typical error of estimate from Trend Data spreadsheet is used for chances."&amp;IF('Trend Data'!F72&lt;10," But "&amp;'Trend Data'!F72&amp;" time points do not provide an accurate estimate.",""),""))</f>
        <v/>
      </c>
      <c r="G19" s="5"/>
      <c r="H19" s="5"/>
      <c r="I19" s="5"/>
      <c r="J19" s="5"/>
      <c r="K19" s="5"/>
      <c r="L19" s="5"/>
      <c r="M19" s="5"/>
      <c r="N19" s="5"/>
      <c r="O19" s="5"/>
      <c r="P19" s="5"/>
    </row>
    <row r="20" spans="1:18" s="15" customFormat="1" x14ac:dyDescent="0.2">
      <c r="A20" s="3"/>
      <c r="B20" s="7"/>
      <c r="C20" s="27"/>
      <c r="D20" s="27"/>
      <c r="E20" s="27"/>
      <c r="F20" s="27"/>
      <c r="G20" s="5"/>
      <c r="H20" s="5"/>
      <c r="I20" s="5"/>
      <c r="J20" s="5"/>
      <c r="K20" s="5"/>
      <c r="L20" s="5"/>
      <c r="M20" s="5"/>
      <c r="N20" s="5"/>
      <c r="O20" s="5"/>
      <c r="P20" s="5"/>
    </row>
    <row r="21" spans="1:18" s="15" customFormat="1" x14ac:dyDescent="0.2">
      <c r="A21" s="3"/>
      <c r="B21" s="30"/>
      <c r="C21" s="30"/>
      <c r="D21" s="31" t="s">
        <v>89</v>
      </c>
      <c r="E21" s="141" t="str">
        <f>IF(ISBLANK('Trend Data'!E16),"",'Trend Data'!E16)</f>
        <v/>
      </c>
      <c r="F21" s="34" t="str">
        <f>IF(OR(E21&lt;&gt;"",E22&lt;&gt;""),"","Error: insert a positive value for the smallest important change; for zero, insert a number much smaller than the typical error (e.g., 0.001).")</f>
        <v/>
      </c>
      <c r="G21" s="5"/>
      <c r="H21" s="5"/>
      <c r="I21" s="6"/>
      <c r="J21" s="5"/>
      <c r="K21" s="5"/>
      <c r="L21" s="5"/>
      <c r="M21" s="5"/>
      <c r="N21" s="5"/>
      <c r="O21" s="5"/>
      <c r="P21" s="5"/>
    </row>
    <row r="22" spans="1:18" s="15" customFormat="1" ht="15.95" customHeight="1" x14ac:dyDescent="0.2">
      <c r="A22" s="3"/>
      <c r="B22" s="32"/>
      <c r="C22" s="32"/>
      <c r="D22" s="33" t="s">
        <v>90</v>
      </c>
      <c r="E22" s="142">
        <f>IF(ISBLANK('Trend Data'!E17),"",'Trend Data'!E17)</f>
        <v>2.5</v>
      </c>
      <c r="F22" s="36" t="str">
        <f>IF(AND(ISNUMBER(E21),ISNUMBER(E22)),"Error: insert either a raw or percent smallest important change, not both.","")</f>
        <v/>
      </c>
      <c r="G22" s="5"/>
      <c r="H22" s="5"/>
      <c r="I22" s="5"/>
      <c r="J22" s="5"/>
      <c r="K22" s="5"/>
      <c r="L22" s="5"/>
      <c r="M22" s="5"/>
      <c r="N22" s="5"/>
      <c r="O22" s="5"/>
      <c r="P22" s="5"/>
      <c r="Q22" s="151"/>
      <c r="R22" s="151"/>
    </row>
    <row r="23" spans="1:18" s="15" customFormat="1" ht="15.95" customHeight="1" x14ac:dyDescent="0.2">
      <c r="A23" s="3"/>
      <c r="B23" s="3"/>
      <c r="C23" s="7"/>
      <c r="D23" s="27"/>
      <c r="E23" s="92" t="s">
        <v>150</v>
      </c>
      <c r="F23" s="27"/>
      <c r="G23" s="5"/>
      <c r="H23" s="5"/>
      <c r="I23" s="5"/>
      <c r="J23" s="5"/>
      <c r="K23" s="5"/>
      <c r="L23" s="5"/>
      <c r="M23" s="5"/>
      <c r="N23" s="5"/>
      <c r="O23" s="5"/>
      <c r="P23" s="5"/>
      <c r="Q23" s="151"/>
      <c r="R23" s="151"/>
    </row>
    <row r="24" spans="1:18" s="15" customFormat="1" ht="15.95" customHeight="1" x14ac:dyDescent="0.2">
      <c r="A24" s="3"/>
      <c r="B24" s="130"/>
      <c r="C24" s="131"/>
      <c r="D24" s="132"/>
      <c r="E24" s="131"/>
      <c r="F24" s="133" t="s">
        <v>146</v>
      </c>
      <c r="G24" s="5"/>
      <c r="H24" s="5"/>
      <c r="I24" s="5"/>
      <c r="J24" s="5"/>
      <c r="K24" s="5"/>
      <c r="L24" s="5"/>
      <c r="M24" s="5"/>
      <c r="N24" s="5"/>
      <c r="O24" s="5"/>
      <c r="P24" s="5"/>
      <c r="Q24" s="151"/>
      <c r="R24" s="151"/>
    </row>
    <row r="25" spans="1:18" s="15" customFormat="1" x14ac:dyDescent="0.2">
      <c r="A25" s="3"/>
      <c r="B25" s="122"/>
      <c r="C25" s="97"/>
      <c r="D25" s="98" t="s">
        <v>110</v>
      </c>
      <c r="E25" s="12"/>
      <c r="F25" s="123" t="str">
        <f>IF(AND(ISBLANK(E25),ISBLANK(E26)),"True change is zero until you insert a number.","")</f>
        <v>True change is zero until you insert a number.</v>
      </c>
      <c r="G25" s="5"/>
      <c r="H25" s="5"/>
      <c r="I25" s="5"/>
      <c r="J25" s="5"/>
      <c r="K25" s="5"/>
      <c r="L25" s="5"/>
      <c r="M25" s="5"/>
      <c r="N25" s="5"/>
      <c r="O25" s="5"/>
      <c r="P25" s="5"/>
      <c r="Q25" s="151"/>
      <c r="R25" s="151"/>
    </row>
    <row r="26" spans="1:18" s="15" customFormat="1" x14ac:dyDescent="0.2">
      <c r="A26" s="3"/>
      <c r="B26" s="122"/>
      <c r="C26" s="98"/>
      <c r="D26" s="98" t="s">
        <v>111</v>
      </c>
      <c r="E26" s="28"/>
      <c r="F26" s="123" t="str">
        <f>IF(AND(ISNUMBER(E25),ISNUMBER(E26)),"Error: insert either a raw or percent true change, not both.","")</f>
        <v/>
      </c>
      <c r="G26" s="5"/>
      <c r="H26" s="5"/>
      <c r="I26" s="5"/>
      <c r="J26" s="5"/>
      <c r="K26" s="5"/>
      <c r="L26" s="5"/>
      <c r="M26" s="5"/>
      <c r="N26" s="5"/>
      <c r="O26" s="5"/>
      <c r="P26" s="5"/>
      <c r="Q26" s="151"/>
      <c r="R26" s="151"/>
    </row>
    <row r="27" spans="1:18" s="15" customFormat="1" x14ac:dyDescent="0.2">
      <c r="A27" s="3"/>
      <c r="B27" s="122"/>
      <c r="C27" s="98"/>
      <c r="D27" s="98"/>
      <c r="E27" s="113" t="s">
        <v>142</v>
      </c>
      <c r="F27" s="124" t="s">
        <v>144</v>
      </c>
      <c r="G27" s="5"/>
      <c r="H27" s="5"/>
      <c r="I27" s="5"/>
      <c r="J27" s="5"/>
      <c r="K27" s="5"/>
      <c r="L27" s="5"/>
      <c r="M27" s="5"/>
      <c r="N27" s="5"/>
      <c r="O27" s="5"/>
      <c r="P27" s="5"/>
      <c r="Q27" s="151"/>
      <c r="R27" s="151"/>
    </row>
    <row r="28" spans="1:18" s="15" customFormat="1" x14ac:dyDescent="0.2">
      <c r="A28" s="3"/>
      <c r="B28" s="122"/>
      <c r="C28" s="97"/>
      <c r="D28" s="98"/>
      <c r="E28" s="114" t="s">
        <v>143</v>
      </c>
      <c r="F28" s="125" t="s">
        <v>145</v>
      </c>
      <c r="G28" s="5"/>
      <c r="H28" s="5"/>
      <c r="I28" s="5"/>
      <c r="J28" s="5"/>
      <c r="K28" s="5"/>
      <c r="L28" s="5"/>
      <c r="M28" s="5"/>
      <c r="N28" s="5"/>
      <c r="O28" s="5"/>
      <c r="P28" s="5"/>
      <c r="Q28" s="151"/>
      <c r="R28" s="151"/>
    </row>
    <row r="29" spans="1:18" s="15" customFormat="1" x14ac:dyDescent="0.2">
      <c r="A29" s="3"/>
      <c r="B29" s="122"/>
      <c r="C29" s="97"/>
      <c r="D29" s="99" t="s">
        <v>124</v>
      </c>
      <c r="E29" s="101">
        <f>E52</f>
        <v>0</v>
      </c>
      <c r="F29" s="108">
        <f>E42</f>
        <v>25.458391468354463</v>
      </c>
      <c r="G29" s="5"/>
      <c r="H29" s="5"/>
      <c r="I29" s="5"/>
      <c r="J29" s="5"/>
      <c r="K29" s="5"/>
      <c r="L29" s="5"/>
      <c r="M29" s="5"/>
      <c r="N29" s="5"/>
      <c r="O29" s="5"/>
      <c r="P29" s="5"/>
    </row>
    <row r="30" spans="1:18" s="15" customFormat="1" x14ac:dyDescent="0.2">
      <c r="A30" s="3"/>
      <c r="B30" s="122"/>
      <c r="C30" s="97"/>
      <c r="D30" s="99" t="s">
        <v>118</v>
      </c>
      <c r="E30" s="101">
        <f>E54</f>
        <v>4.0383271950805711E-6</v>
      </c>
      <c r="F30" s="108">
        <f>E44</f>
        <v>1.5094256702245099</v>
      </c>
      <c r="G30" s="5"/>
      <c r="H30" s="102"/>
      <c r="I30" s="102"/>
      <c r="J30" s="102"/>
      <c r="K30" s="5"/>
      <c r="L30" s="5"/>
      <c r="M30" s="5"/>
      <c r="N30" s="5"/>
      <c r="O30" s="5"/>
      <c r="P30" s="5"/>
    </row>
    <row r="31" spans="1:18" s="15" customFormat="1" x14ac:dyDescent="0.2">
      <c r="A31" s="3"/>
      <c r="B31" s="122"/>
      <c r="C31" s="97"/>
      <c r="D31" s="99" t="s">
        <v>119</v>
      </c>
      <c r="E31" s="101">
        <f>E53-E52-E54</f>
        <v>7.7326529555414374E-4</v>
      </c>
      <c r="F31" s="108">
        <f>E43-E42-E44</f>
        <v>35.761378595598259</v>
      </c>
      <c r="G31" s="5"/>
      <c r="H31" s="5"/>
      <c r="I31" s="102"/>
      <c r="J31" s="102"/>
      <c r="K31" s="5"/>
      <c r="L31" s="5"/>
      <c r="M31" s="5"/>
      <c r="N31" s="5"/>
      <c r="O31" s="5"/>
      <c r="P31" s="5"/>
    </row>
    <row r="32" spans="1:18" s="15" customFormat="1" x14ac:dyDescent="0.2">
      <c r="A32" s="3"/>
      <c r="B32" s="122"/>
      <c r="C32" s="97"/>
      <c r="D32" s="99" t="s">
        <v>120</v>
      </c>
      <c r="E32" s="101">
        <f>100-E29-E30-E31-E33-E34</f>
        <v>99.998445392754519</v>
      </c>
      <c r="F32" s="108">
        <f>100-F29-F30-F31-F33-F34</f>
        <v>-7.9936057773011271E-15</v>
      </c>
      <c r="G32" s="5"/>
      <c r="H32" s="5"/>
      <c r="I32" s="102"/>
      <c r="J32" s="102"/>
      <c r="K32" s="5"/>
      <c r="L32" s="5"/>
      <c r="M32" s="5"/>
      <c r="N32" s="5"/>
      <c r="O32" s="5"/>
      <c r="P32" s="5"/>
    </row>
    <row r="33" spans="1:16" s="15" customFormat="1" x14ac:dyDescent="0.2">
      <c r="A33" s="3"/>
      <c r="B33" s="122"/>
      <c r="C33" s="97"/>
      <c r="D33" s="99" t="s">
        <v>121</v>
      </c>
      <c r="E33" s="101">
        <f>E55-E52-E56</f>
        <v>7.7326529554545224E-4</v>
      </c>
      <c r="F33" s="108">
        <f>E45-E42-E46</f>
        <v>35.761378595598259</v>
      </c>
      <c r="G33" s="5"/>
      <c r="H33" s="5"/>
      <c r="I33" s="102"/>
      <c r="J33" s="102"/>
      <c r="K33" s="5"/>
      <c r="L33" s="5"/>
      <c r="M33" s="5"/>
      <c r="N33" s="5"/>
      <c r="O33" s="5"/>
      <c r="P33" s="5"/>
    </row>
    <row r="34" spans="1:16" s="15" customFormat="1" x14ac:dyDescent="0.2">
      <c r="A34" s="3"/>
      <c r="B34" s="122"/>
      <c r="C34" s="97"/>
      <c r="D34" s="99" t="s">
        <v>122</v>
      </c>
      <c r="E34" s="101">
        <f>E56</f>
        <v>4.0383271950805711E-6</v>
      </c>
      <c r="F34" s="108">
        <f>E46</f>
        <v>1.5094256702245099</v>
      </c>
      <c r="G34" s="102"/>
      <c r="H34" s="102"/>
      <c r="I34" s="102"/>
      <c r="J34" s="102"/>
      <c r="K34" s="5"/>
      <c r="L34" s="5"/>
      <c r="M34" s="5"/>
      <c r="N34" s="5"/>
      <c r="O34" s="5"/>
      <c r="P34" s="5"/>
    </row>
    <row r="35" spans="1:16" s="15" customFormat="1" x14ac:dyDescent="0.2">
      <c r="A35" s="3"/>
      <c r="B35" s="126"/>
      <c r="C35" s="16"/>
      <c r="D35" s="127" t="s">
        <v>123</v>
      </c>
      <c r="E35" s="128">
        <f>_xlfn.T.INV(E11/100,E51)*SQRT(2)</f>
        <v>1.8776912403510377</v>
      </c>
      <c r="F35" s="92" t="s">
        <v>109</v>
      </c>
      <c r="G35" s="5"/>
      <c r="H35" s="5"/>
      <c r="I35" s="102"/>
      <c r="J35" s="102"/>
      <c r="K35" s="5"/>
      <c r="L35" s="5"/>
      <c r="M35" s="5"/>
      <c r="N35" s="5"/>
      <c r="O35" s="5"/>
      <c r="P35" s="5"/>
    </row>
    <row r="36" spans="1:16" s="15" customFormat="1" x14ac:dyDescent="0.2">
      <c r="A36" s="3"/>
      <c r="B36" s="3" t="s">
        <v>33</v>
      </c>
      <c r="C36" s="3"/>
      <c r="D36" s="3"/>
      <c r="E36" s="3"/>
      <c r="F36" s="144"/>
      <c r="G36" s="5"/>
      <c r="H36" s="5"/>
      <c r="I36" s="5"/>
      <c r="J36" s="5"/>
      <c r="K36" s="5"/>
      <c r="L36" s="5"/>
      <c r="M36" s="5"/>
      <c r="N36" s="5"/>
      <c r="O36" s="5"/>
      <c r="P36" s="5"/>
    </row>
    <row r="37" spans="1:16" x14ac:dyDescent="0.2">
      <c r="A37" s="3"/>
      <c r="B37" s="3"/>
      <c r="C37" s="3"/>
      <c r="D37" s="3"/>
      <c r="E37" s="27" t="s">
        <v>101</v>
      </c>
      <c r="F37" s="1"/>
      <c r="G37" s="1"/>
      <c r="H37" s="1"/>
      <c r="I37" s="1"/>
      <c r="J37" s="1"/>
      <c r="K37" s="1"/>
      <c r="L37" s="1"/>
      <c r="M37" s="1"/>
      <c r="N37" s="15"/>
    </row>
    <row r="38" spans="1:16" x14ac:dyDescent="0.2">
      <c r="A38" s="3"/>
      <c r="B38" s="30"/>
      <c r="C38" s="24"/>
      <c r="D38" s="31" t="s">
        <v>100</v>
      </c>
      <c r="E38" s="47">
        <f>'Trend Data'!E79</f>
        <v>45.974999999999994</v>
      </c>
      <c r="F38" s="1"/>
      <c r="G38" s="1"/>
      <c r="H38" s="1"/>
      <c r="I38" s="1"/>
      <c r="J38" s="1"/>
      <c r="K38" s="1"/>
      <c r="L38" s="1"/>
      <c r="M38" s="1"/>
      <c r="N38" s="15"/>
    </row>
    <row r="39" spans="1:16" x14ac:dyDescent="0.2">
      <c r="A39" s="3"/>
      <c r="B39" s="8"/>
      <c r="C39" s="7"/>
      <c r="D39" s="20" t="s">
        <v>98</v>
      </c>
      <c r="E39" s="49">
        <f>$E$25*ISNUMBER($E$25)+$E$26*ISNUMBER($E$26)*E38/100</f>
        <v>0</v>
      </c>
      <c r="F39" s="1"/>
      <c r="G39" s="1"/>
      <c r="H39" s="1"/>
      <c r="I39" s="1"/>
      <c r="J39" s="1"/>
      <c r="K39" s="1"/>
      <c r="L39" s="1"/>
      <c r="M39" s="1"/>
      <c r="N39" s="15"/>
    </row>
    <row r="40" spans="1:16" x14ac:dyDescent="0.2">
      <c r="A40" s="3"/>
      <c r="B40" s="8"/>
      <c r="C40" s="7"/>
      <c r="D40" s="20" t="s">
        <v>102</v>
      </c>
      <c r="E40" s="49">
        <f>'Trend Data'!E82</f>
        <v>1.1600005572961489</v>
      </c>
      <c r="F40" s="1"/>
      <c r="G40" s="1"/>
      <c r="H40" s="1"/>
      <c r="I40" s="1"/>
      <c r="J40" s="1"/>
      <c r="K40" s="1"/>
      <c r="L40" s="1"/>
      <c r="M40" s="1"/>
      <c r="N40" s="15"/>
    </row>
    <row r="41" spans="1:16" x14ac:dyDescent="0.2">
      <c r="A41" s="3"/>
      <c r="B41" s="8"/>
      <c r="C41" s="7"/>
      <c r="D41" s="20" t="s">
        <v>35</v>
      </c>
      <c r="E41" s="103">
        <f>'Trend Data'!E83</f>
        <v>23.482281532507372</v>
      </c>
      <c r="F41" s="1"/>
      <c r="G41" s="1"/>
      <c r="H41" s="1"/>
      <c r="I41" s="1"/>
      <c r="J41" s="1"/>
      <c r="K41" s="1"/>
      <c r="L41" s="1"/>
      <c r="M41" s="1"/>
      <c r="N41" s="15"/>
    </row>
    <row r="42" spans="1:16" x14ac:dyDescent="0.2">
      <c r="A42" s="3"/>
      <c r="B42" s="8"/>
      <c r="C42" s="7"/>
      <c r="D42" s="106" t="s">
        <v>95</v>
      </c>
      <c r="E42" s="104">
        <f>MAX(0,E43-(100-E45))</f>
        <v>25.458391468354463</v>
      </c>
      <c r="F42" s="1"/>
      <c r="G42" s="1"/>
      <c r="H42" s="1"/>
      <c r="I42" s="1"/>
      <c r="J42" s="1"/>
      <c r="K42" s="1"/>
      <c r="L42" s="1"/>
      <c r="M42" s="1"/>
      <c r="N42" s="15"/>
    </row>
    <row r="43" spans="1:16" x14ac:dyDescent="0.2">
      <c r="A43" s="3"/>
      <c r="B43" s="8"/>
      <c r="C43" s="7"/>
      <c r="D43" s="106" t="s">
        <v>103</v>
      </c>
      <c r="E43" s="104">
        <f>100*_xlfn.T.DIST(-_xlfn.T.INV(E13/100,E41)+(E39-(IF(E21="",0,E21)+IF(E22="",0,E22)*E38/100))/E40,E41,1)</f>
        <v>62.729195734177232</v>
      </c>
      <c r="F43" s="1"/>
      <c r="G43" s="1"/>
      <c r="H43" s="1"/>
      <c r="I43" s="1"/>
      <c r="J43" s="1"/>
      <c r="K43" s="1"/>
      <c r="L43" s="1"/>
      <c r="M43" s="1"/>
      <c r="N43" s="15"/>
    </row>
    <row r="44" spans="1:16" x14ac:dyDescent="0.2">
      <c r="A44" s="3"/>
      <c r="B44" s="8"/>
      <c r="C44" s="7"/>
      <c r="D44" s="106" t="s">
        <v>93</v>
      </c>
      <c r="E44" s="104">
        <f>100*_xlfn.T.DIST(-(-_xlfn.T.INV(E13/100,E41)+((IF(E21="",0,E21)+IF(E22="",0,E22)*E38/100)-E39)/E40),E41,1)</f>
        <v>1.5094256702245099</v>
      </c>
      <c r="F44" s="1"/>
      <c r="G44" s="1"/>
      <c r="H44" s="1"/>
      <c r="I44" s="1"/>
      <c r="J44" s="1"/>
      <c r="K44" s="1"/>
      <c r="L44" s="1"/>
      <c r="M44" s="1"/>
      <c r="N44" s="15"/>
    </row>
    <row r="45" spans="1:16" x14ac:dyDescent="0.2">
      <c r="A45" s="3"/>
      <c r="B45" s="8"/>
      <c r="C45" s="7"/>
      <c r="D45" s="106" t="s">
        <v>104</v>
      </c>
      <c r="E45" s="104">
        <f>100-100*_xlfn.T.DIST((E39+(IF(E21="",0,E21)+IF(E22="",0,E22)*E38/100))/E40-(-_xlfn.T.INV(E13/100,E41)),E41,1)</f>
        <v>62.729195734177232</v>
      </c>
      <c r="F45" s="1"/>
      <c r="G45" s="1"/>
      <c r="H45" s="1"/>
      <c r="I45" s="1"/>
      <c r="J45" s="1"/>
      <c r="K45" s="1"/>
      <c r="L45" s="1"/>
      <c r="M45" s="1"/>
      <c r="N45" s="15"/>
    </row>
    <row r="46" spans="1:16" x14ac:dyDescent="0.2">
      <c r="A46" s="3"/>
      <c r="B46" s="32"/>
      <c r="C46" s="25"/>
      <c r="D46" s="107" t="s">
        <v>94</v>
      </c>
      <c r="E46" s="105">
        <f>100*_xlfn.T.DIST(-((E39+(IF(E21="",0,E21)+IF(E22="",0,E22)*E38/100))/E40+(-_xlfn.T.INV(E13/100,E41))),E41,1)</f>
        <v>1.5094256702245099</v>
      </c>
      <c r="F46" s="1"/>
      <c r="G46" s="1"/>
      <c r="H46" s="1"/>
      <c r="I46" s="1"/>
      <c r="J46" s="1"/>
      <c r="K46" s="1"/>
      <c r="L46" s="1"/>
      <c r="M46" s="1"/>
      <c r="N46" s="15"/>
    </row>
    <row r="47" spans="1:16" x14ac:dyDescent="0.2">
      <c r="A47" s="3"/>
      <c r="B47" s="3"/>
      <c r="C47" s="3"/>
      <c r="D47" s="3"/>
      <c r="E47" s="27" t="s">
        <v>99</v>
      </c>
      <c r="F47" s="1"/>
      <c r="G47" s="1"/>
      <c r="H47" s="1"/>
      <c r="I47" s="1"/>
      <c r="J47" s="1"/>
      <c r="K47" s="1"/>
      <c r="L47" s="1"/>
      <c r="M47" s="1"/>
      <c r="N47" s="15"/>
    </row>
    <row r="48" spans="1:16" x14ac:dyDescent="0.2">
      <c r="A48" s="3"/>
      <c r="B48" s="30"/>
      <c r="C48" s="24"/>
      <c r="D48" s="31" t="s">
        <v>100</v>
      </c>
      <c r="E48" s="47">
        <f>E38</f>
        <v>45.974999999999994</v>
      </c>
      <c r="F48" s="1"/>
      <c r="G48" s="1"/>
      <c r="H48" s="1"/>
      <c r="I48" s="1"/>
      <c r="J48" s="1"/>
      <c r="K48" s="1"/>
      <c r="L48" s="1"/>
      <c r="M48" s="1"/>
      <c r="N48" s="15"/>
    </row>
    <row r="49" spans="1:14" x14ac:dyDescent="0.2">
      <c r="A49" s="3"/>
      <c r="B49" s="8"/>
      <c r="C49" s="7"/>
      <c r="D49" s="20" t="s">
        <v>98</v>
      </c>
      <c r="E49" s="49">
        <f>$E$25*ISNUMBER($E$25)+$E$26*ISNUMBER($E$26)*E48/100</f>
        <v>0</v>
      </c>
      <c r="F49" s="1"/>
      <c r="G49" s="1"/>
      <c r="H49" s="1"/>
      <c r="I49" s="1"/>
      <c r="J49" s="1"/>
      <c r="K49" s="1"/>
      <c r="L49" s="1"/>
      <c r="M49" s="1"/>
      <c r="N49" s="15"/>
    </row>
    <row r="50" spans="1:14" x14ac:dyDescent="0.2">
      <c r="A50" s="3"/>
      <c r="B50" s="8"/>
      <c r="C50" s="7"/>
      <c r="D50" s="20" t="s">
        <v>102</v>
      </c>
      <c r="E50" s="49">
        <f>D17*SQRT(2)</f>
        <v>0.16254617132525759</v>
      </c>
      <c r="F50" s="1"/>
      <c r="G50" s="1"/>
      <c r="H50" s="1"/>
      <c r="I50" s="1"/>
      <c r="J50" s="1"/>
      <c r="K50" s="1"/>
      <c r="L50" s="1"/>
      <c r="M50" s="1"/>
      <c r="N50" s="15"/>
    </row>
    <row r="51" spans="1:14" x14ac:dyDescent="0.2">
      <c r="A51" s="3"/>
      <c r="B51" s="8"/>
      <c r="C51" s="7"/>
      <c r="D51" s="20" t="s">
        <v>35</v>
      </c>
      <c r="E51" s="49">
        <f>D19</f>
        <v>19</v>
      </c>
      <c r="F51" s="1"/>
      <c r="G51" s="1"/>
      <c r="H51" s="1"/>
      <c r="I51" s="1"/>
      <c r="J51" s="1"/>
      <c r="K51" s="1"/>
      <c r="L51" s="1"/>
      <c r="M51" s="1"/>
      <c r="N51" s="15"/>
    </row>
    <row r="52" spans="1:14" x14ac:dyDescent="0.2">
      <c r="A52" s="3"/>
      <c r="B52" s="8"/>
      <c r="C52" s="7"/>
      <c r="D52" s="106" t="s">
        <v>95</v>
      </c>
      <c r="E52" s="104">
        <f>MAX(0,E53-(100-E55))</f>
        <v>0</v>
      </c>
      <c r="F52" s="1"/>
      <c r="G52" s="1"/>
      <c r="H52" s="1"/>
      <c r="I52" s="1"/>
      <c r="J52" s="1"/>
      <c r="K52" s="1"/>
      <c r="L52" s="1"/>
      <c r="M52" s="1"/>
      <c r="N52" s="15"/>
    </row>
    <row r="53" spans="1:14" x14ac:dyDescent="0.2">
      <c r="A53" s="3"/>
      <c r="B53" s="8"/>
      <c r="C53" s="7"/>
      <c r="D53" s="106" t="s">
        <v>103</v>
      </c>
      <c r="E53" s="104">
        <f>100*_xlfn.T.DIST(-_xlfn.T.INV(E13/100,E51)+(E49-(IF(E21="",0,E21)+IF(E22="",0,E22)*E48/100))/E50,E51,1)</f>
        <v>7.7730362274922428E-4</v>
      </c>
      <c r="F53" s="1"/>
      <c r="G53" s="1"/>
      <c r="H53" s="1"/>
      <c r="I53" s="1"/>
      <c r="J53" s="1"/>
      <c r="K53" s="1"/>
      <c r="L53" s="1"/>
      <c r="M53" s="1"/>
      <c r="N53" s="15"/>
    </row>
    <row r="54" spans="1:14" x14ac:dyDescent="0.2">
      <c r="A54" s="3"/>
      <c r="B54" s="8"/>
      <c r="C54" s="7"/>
      <c r="D54" s="106" t="s">
        <v>93</v>
      </c>
      <c r="E54" s="104">
        <f>100*_xlfn.T.DIST(-(-_xlfn.T.INV(E13/100,E51)+((IF(E21="",0,E21)+IF(E22="",0,E22)*E48/100)-E49)/E50),E51,1)</f>
        <v>4.0383271950805711E-6</v>
      </c>
      <c r="F54" s="1"/>
      <c r="G54" s="1"/>
      <c r="H54" s="1"/>
      <c r="I54" s="1"/>
      <c r="J54" s="1"/>
      <c r="K54" s="1"/>
      <c r="L54" s="1"/>
      <c r="M54" s="1"/>
      <c r="N54" s="15"/>
    </row>
    <row r="55" spans="1:14" x14ac:dyDescent="0.2">
      <c r="A55" s="3"/>
      <c r="B55" s="8"/>
      <c r="C55" s="7"/>
      <c r="D55" s="106" t="s">
        <v>104</v>
      </c>
      <c r="E55" s="104">
        <f>100-100*_xlfn.T.DIST((E49+(IF(E21="",0,E21)+IF(E22="",0,E22)*E48/100))/E50-(-_xlfn.T.INV(E13/100,E51)),E51,1)</f>
        <v>7.7730362274053277E-4</v>
      </c>
      <c r="F55" s="1"/>
      <c r="G55" s="1"/>
      <c r="H55" s="1"/>
      <c r="I55" s="1"/>
      <c r="J55" s="1"/>
      <c r="K55" s="1"/>
      <c r="L55" s="1"/>
      <c r="M55" s="1"/>
      <c r="N55" s="15"/>
    </row>
    <row r="56" spans="1:14" x14ac:dyDescent="0.2">
      <c r="A56" s="3"/>
      <c r="B56" s="32"/>
      <c r="C56" s="25"/>
      <c r="D56" s="107" t="s">
        <v>94</v>
      </c>
      <c r="E56" s="105">
        <f>100*_xlfn.T.DIST(-((E49+(IF(E21="",0,E21)+IF(E22="",0,E22)*E48/100))/E50+(-_xlfn.T.INV(E13/100,E51))),E51,1)</f>
        <v>4.0383271950805711E-6</v>
      </c>
      <c r="F56" s="1"/>
      <c r="G56" s="1"/>
      <c r="H56" s="1"/>
      <c r="I56" s="1"/>
      <c r="J56" s="1"/>
      <c r="K56" s="1"/>
      <c r="L56" s="1"/>
      <c r="M56" s="1"/>
      <c r="N56" s="15"/>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FF"/>
  </sheetPr>
  <dimension ref="A1:AB30"/>
  <sheetViews>
    <sheetView zoomScaleNormal="100" workbookViewId="0"/>
  </sheetViews>
  <sheetFormatPr defaultRowHeight="15" x14ac:dyDescent="0.2"/>
  <cols>
    <col min="1" max="1" width="4.4375" customWidth="1"/>
    <col min="2" max="2" width="10.76171875" customWidth="1"/>
    <col min="3" max="3" width="9.81640625" customWidth="1"/>
    <col min="4" max="4" width="5.24609375" customWidth="1"/>
    <col min="5" max="25" width="4.9765625" style="1" customWidth="1"/>
    <col min="26" max="26" width="3.359375" customWidth="1"/>
    <col min="28" max="28" width="8.875" style="15"/>
  </cols>
  <sheetData>
    <row r="1" spans="1:28" x14ac:dyDescent="0.2">
      <c r="A1" s="16"/>
      <c r="B1" s="23" t="s">
        <v>43</v>
      </c>
      <c r="C1" s="16"/>
      <c r="D1" s="16"/>
      <c r="E1" s="17"/>
      <c r="F1" s="17"/>
      <c r="G1" s="17"/>
      <c r="H1" s="17"/>
      <c r="I1" s="17"/>
      <c r="J1" s="17"/>
      <c r="K1" s="17"/>
      <c r="L1" s="17"/>
      <c r="M1" s="17"/>
      <c r="N1" s="17"/>
      <c r="O1" s="17"/>
      <c r="P1" s="17"/>
      <c r="Q1" s="17"/>
      <c r="R1" s="17"/>
      <c r="S1" s="17"/>
      <c r="T1" s="17"/>
      <c r="U1" s="17"/>
      <c r="V1" s="17"/>
      <c r="W1" s="17"/>
      <c r="X1" s="17"/>
      <c r="Y1" s="17"/>
      <c r="Z1" s="16"/>
      <c r="AA1" s="16"/>
    </row>
    <row r="2" spans="1:28" x14ac:dyDescent="0.2">
      <c r="A2" s="3"/>
      <c r="B2" s="57" t="s">
        <v>193</v>
      </c>
      <c r="C2" s="5"/>
      <c r="D2" s="21"/>
      <c r="E2" s="5"/>
      <c r="F2" s="5"/>
      <c r="G2" s="5"/>
      <c r="H2" s="5"/>
      <c r="I2" s="5"/>
      <c r="J2" s="5"/>
      <c r="K2" s="5"/>
      <c r="L2" s="5"/>
      <c r="M2" s="5"/>
      <c r="N2" s="5"/>
      <c r="O2" s="5"/>
      <c r="P2" s="5"/>
      <c r="Q2" s="5"/>
      <c r="R2" s="5"/>
      <c r="S2" s="5"/>
      <c r="T2" s="5"/>
      <c r="U2" s="5"/>
      <c r="V2" s="5"/>
      <c r="W2" s="5"/>
      <c r="X2" s="5"/>
      <c r="Y2" s="5"/>
      <c r="Z2" s="5"/>
      <c r="AA2" s="5"/>
    </row>
    <row r="3" spans="1:28" x14ac:dyDescent="0.2">
      <c r="A3" s="3"/>
      <c r="B3" s="57" t="s">
        <v>189</v>
      </c>
      <c r="C3" s="5"/>
      <c r="D3" s="21"/>
      <c r="E3" s="5"/>
      <c r="F3" s="5"/>
      <c r="G3" s="5"/>
      <c r="H3" s="5"/>
      <c r="I3" s="5"/>
      <c r="J3" s="5"/>
      <c r="K3" s="5"/>
      <c r="L3" s="5"/>
      <c r="M3" s="5"/>
      <c r="N3" s="5"/>
      <c r="O3" s="5"/>
      <c r="P3" s="5"/>
      <c r="Q3" s="5"/>
      <c r="R3" s="5"/>
      <c r="S3" s="5"/>
      <c r="T3" s="5"/>
      <c r="U3" s="5"/>
      <c r="V3" s="5"/>
      <c r="W3" s="5"/>
      <c r="X3" s="5"/>
      <c r="Y3" s="5"/>
      <c r="Z3" s="5"/>
      <c r="AA3" s="5"/>
    </row>
    <row r="4" spans="1:28" x14ac:dyDescent="0.2">
      <c r="A4" s="3"/>
      <c r="B4" s="56" t="s">
        <v>137</v>
      </c>
      <c r="C4" s="5"/>
      <c r="D4" s="21"/>
      <c r="E4" s="5"/>
      <c r="F4" s="5"/>
      <c r="G4" s="5"/>
      <c r="H4" s="5"/>
      <c r="I4" s="5"/>
      <c r="J4" s="5"/>
      <c r="K4" s="5"/>
      <c r="L4" s="5"/>
      <c r="M4" s="5"/>
      <c r="N4" s="5"/>
      <c r="O4" s="5"/>
      <c r="P4" s="5"/>
      <c r="Q4" s="5"/>
      <c r="R4" s="5"/>
      <c r="S4" s="5"/>
      <c r="T4" s="5"/>
      <c r="U4" s="5"/>
      <c r="V4" s="5"/>
      <c r="W4" s="5"/>
      <c r="X4" s="5"/>
      <c r="Y4" s="5"/>
      <c r="Z4" s="5"/>
      <c r="AA4" s="5"/>
    </row>
    <row r="5" spans="1:28" x14ac:dyDescent="0.2">
      <c r="A5" s="3"/>
      <c r="B5" s="56" t="s">
        <v>148</v>
      </c>
      <c r="C5" s="5"/>
      <c r="D5" s="21"/>
      <c r="E5" s="5"/>
      <c r="F5" s="5"/>
      <c r="G5" s="5"/>
      <c r="H5" s="5"/>
      <c r="I5" s="5"/>
      <c r="J5" s="5"/>
      <c r="K5" s="5"/>
      <c r="L5" s="5"/>
      <c r="M5" s="5"/>
      <c r="N5" s="5"/>
      <c r="O5" s="5"/>
      <c r="P5" s="5"/>
      <c r="Q5" s="5"/>
      <c r="R5" s="5"/>
      <c r="S5" s="5"/>
      <c r="T5" s="5"/>
      <c r="U5" s="5"/>
      <c r="V5" s="5"/>
      <c r="W5" s="5"/>
      <c r="X5" s="5"/>
      <c r="Y5" s="5"/>
      <c r="Z5" s="5"/>
      <c r="AA5" s="5"/>
    </row>
    <row r="6" spans="1:28" x14ac:dyDescent="0.2">
      <c r="A6" s="3"/>
      <c r="B6" s="57" t="s">
        <v>49</v>
      </c>
      <c r="C6" s="5"/>
      <c r="D6" s="21"/>
      <c r="E6" s="5"/>
      <c r="F6" s="5"/>
      <c r="G6" s="5"/>
      <c r="H6" s="5"/>
      <c r="I6" s="5"/>
      <c r="J6" s="5"/>
      <c r="K6" s="5"/>
      <c r="L6" s="5"/>
      <c r="M6" s="5"/>
      <c r="N6" s="5"/>
      <c r="O6" s="5"/>
      <c r="P6" s="5"/>
      <c r="Q6" s="5"/>
      <c r="R6" s="5"/>
      <c r="S6" s="5"/>
      <c r="T6" s="5"/>
      <c r="U6" s="5"/>
      <c r="V6" s="5"/>
      <c r="W6" s="5"/>
      <c r="X6" s="5"/>
      <c r="Y6" s="5"/>
      <c r="Z6" s="5"/>
      <c r="AA6" s="5"/>
    </row>
    <row r="7" spans="1:28" x14ac:dyDescent="0.2">
      <c r="A7" s="3"/>
      <c r="B7" s="3" t="s">
        <v>86</v>
      </c>
      <c r="C7" s="5"/>
      <c r="D7" s="21"/>
      <c r="E7" s="5"/>
      <c r="F7" s="5"/>
      <c r="G7" s="5"/>
      <c r="H7" s="5"/>
      <c r="I7" s="5"/>
      <c r="J7" s="5"/>
      <c r="K7" s="5"/>
      <c r="L7" s="5"/>
      <c r="M7" s="5"/>
      <c r="N7" s="5"/>
      <c r="O7" s="5"/>
      <c r="P7" s="5"/>
      <c r="Q7" s="5"/>
      <c r="R7" s="5"/>
      <c r="S7" s="5"/>
      <c r="T7" s="5"/>
      <c r="U7" s="5"/>
      <c r="V7" s="5"/>
      <c r="W7" s="5"/>
      <c r="X7" s="3"/>
      <c r="Y7" s="3"/>
      <c r="Z7" s="6"/>
      <c r="AA7" s="3"/>
      <c r="AB7"/>
    </row>
    <row r="8" spans="1:28" x14ac:dyDescent="0.2">
      <c r="A8" s="3"/>
      <c r="B8" s="57" t="s">
        <v>188</v>
      </c>
      <c r="C8" s="5"/>
      <c r="D8" s="21"/>
      <c r="E8" s="5"/>
      <c r="F8" s="5"/>
      <c r="G8" s="5"/>
      <c r="H8" s="5"/>
      <c r="I8" s="5"/>
      <c r="J8" s="5"/>
      <c r="K8" s="5"/>
      <c r="L8" s="5"/>
      <c r="M8" s="5"/>
      <c r="N8" s="5"/>
      <c r="O8" s="5"/>
      <c r="P8" s="5"/>
      <c r="Q8" s="5"/>
      <c r="R8" s="5"/>
      <c r="S8" s="5"/>
      <c r="T8" s="5"/>
      <c r="U8" s="5"/>
      <c r="V8" s="5"/>
      <c r="W8" s="5"/>
      <c r="X8" s="5"/>
      <c r="Y8" s="5"/>
      <c r="Z8" s="5"/>
      <c r="AA8" s="5"/>
    </row>
    <row r="9" spans="1:28" s="15" customFormat="1" x14ac:dyDescent="0.2">
      <c r="A9" s="3"/>
      <c r="B9" s="3" t="s">
        <v>62</v>
      </c>
      <c r="C9" s="3"/>
      <c r="D9" s="21"/>
      <c r="E9" s="5"/>
      <c r="F9" s="5"/>
      <c r="G9" s="5"/>
      <c r="H9" s="5"/>
      <c r="I9" s="5"/>
      <c r="J9" s="5"/>
      <c r="K9" s="5"/>
      <c r="L9" s="5"/>
      <c r="M9" s="5"/>
      <c r="N9" s="5"/>
      <c r="O9" s="5"/>
      <c r="P9" s="5"/>
      <c r="Q9" s="5"/>
      <c r="R9" s="5"/>
      <c r="S9" s="5"/>
      <c r="T9" s="5"/>
      <c r="U9" s="5"/>
      <c r="V9" s="5"/>
      <c r="W9" s="5"/>
      <c r="X9" s="5"/>
      <c r="Y9" s="5"/>
      <c r="Z9" s="5"/>
      <c r="AA9" s="5"/>
    </row>
    <row r="10" spans="1:28" s="15" customFormat="1" x14ac:dyDescent="0.2">
      <c r="A10" s="3"/>
      <c r="B10" s="56" t="s">
        <v>80</v>
      </c>
      <c r="C10" s="5"/>
      <c r="D10" s="21"/>
      <c r="E10" s="5"/>
      <c r="F10" s="5"/>
      <c r="G10" s="5"/>
      <c r="H10" s="5"/>
      <c r="I10" s="5"/>
      <c r="J10" s="5"/>
      <c r="K10" s="5"/>
      <c r="L10" s="5"/>
      <c r="M10" s="5"/>
      <c r="N10" s="5"/>
      <c r="O10" s="5"/>
      <c r="P10" s="5"/>
      <c r="Q10" s="5"/>
      <c r="R10" s="5"/>
      <c r="S10" s="5"/>
      <c r="T10" s="5"/>
      <c r="U10" s="5"/>
      <c r="V10" s="5"/>
      <c r="W10" s="5"/>
      <c r="X10" s="5"/>
      <c r="Y10" s="5"/>
      <c r="Z10" s="5"/>
      <c r="AA10" s="5"/>
    </row>
    <row r="11" spans="1:28" s="15" customFormat="1" x14ac:dyDescent="0.2">
      <c r="A11" s="3"/>
      <c r="B11" s="56" t="s">
        <v>63</v>
      </c>
      <c r="C11" s="5"/>
      <c r="D11" s="21"/>
      <c r="E11" s="5"/>
      <c r="F11" s="5"/>
      <c r="G11" s="5"/>
      <c r="H11" s="5"/>
      <c r="I11" s="5"/>
      <c r="J11" s="5"/>
      <c r="K11" s="5"/>
      <c r="L11" s="5"/>
      <c r="M11" s="5"/>
      <c r="N11" s="5"/>
      <c r="O11" s="5"/>
      <c r="P11" s="5"/>
      <c r="Q11" s="5"/>
      <c r="R11" s="5"/>
      <c r="S11" s="5"/>
      <c r="T11" s="5"/>
      <c r="U11" s="5"/>
      <c r="V11" s="5"/>
      <c r="W11" s="5"/>
      <c r="X11" s="5"/>
      <c r="Y11" s="5"/>
      <c r="Z11" s="5"/>
      <c r="AA11" s="5"/>
    </row>
    <row r="12" spans="1:28" s="15" customFormat="1" x14ac:dyDescent="0.2">
      <c r="A12" s="3"/>
      <c r="B12" s="56" t="s">
        <v>64</v>
      </c>
      <c r="C12" s="5"/>
      <c r="D12" s="21"/>
      <c r="E12" s="5"/>
      <c r="F12" s="5"/>
      <c r="G12" s="5"/>
      <c r="H12" s="5"/>
      <c r="I12" s="5"/>
      <c r="J12" s="5"/>
      <c r="K12" s="5"/>
      <c r="L12" s="5"/>
      <c r="M12" s="5"/>
      <c r="N12" s="5"/>
      <c r="O12" s="5"/>
      <c r="P12" s="5"/>
      <c r="Q12" s="5"/>
      <c r="R12" s="5"/>
      <c r="S12" s="5"/>
      <c r="T12" s="5"/>
      <c r="U12" s="5"/>
      <c r="V12" s="5"/>
      <c r="W12" s="5"/>
      <c r="X12" s="5"/>
      <c r="Y12" s="5"/>
      <c r="Z12" s="5"/>
      <c r="AA12" s="5"/>
    </row>
    <row r="13" spans="1:28" s="15" customFormat="1" x14ac:dyDescent="0.2">
      <c r="A13" s="3"/>
      <c r="B13" s="3" t="s">
        <v>65</v>
      </c>
      <c r="C13" s="3"/>
      <c r="D13" s="21"/>
      <c r="E13" s="5"/>
      <c r="F13" s="5"/>
      <c r="G13" s="5"/>
      <c r="H13" s="5"/>
      <c r="I13" s="5"/>
      <c r="J13" s="5"/>
      <c r="K13" s="5"/>
      <c r="L13" s="5"/>
      <c r="M13" s="5"/>
      <c r="N13" s="5"/>
      <c r="O13" s="5"/>
      <c r="P13" s="5"/>
      <c r="Q13" s="5"/>
      <c r="R13" s="5"/>
      <c r="S13" s="5"/>
      <c r="T13" s="5"/>
      <c r="U13" s="5"/>
      <c r="V13" s="5"/>
      <c r="W13" s="5"/>
      <c r="X13" s="5"/>
      <c r="Y13" s="5"/>
      <c r="Z13" s="5"/>
      <c r="AA13" s="5"/>
    </row>
    <row r="14" spans="1:28" x14ac:dyDescent="0.2">
      <c r="A14" s="3"/>
      <c r="B14" s="3" t="s">
        <v>106</v>
      </c>
      <c r="C14" s="3"/>
      <c r="D14" s="21"/>
      <c r="E14" s="5"/>
      <c r="F14" s="5"/>
      <c r="G14" s="5"/>
      <c r="H14" s="5"/>
      <c r="I14" s="5"/>
      <c r="J14" s="5"/>
      <c r="K14" s="5"/>
      <c r="L14" s="5"/>
      <c r="M14" s="5"/>
      <c r="N14" s="5"/>
      <c r="O14" s="5"/>
      <c r="P14" s="5"/>
      <c r="Q14" s="5"/>
      <c r="R14" s="5"/>
      <c r="S14" s="5"/>
      <c r="T14" s="5"/>
      <c r="U14" s="5"/>
      <c r="V14" s="5"/>
      <c r="W14" s="5"/>
      <c r="X14" s="5"/>
      <c r="Y14" s="5"/>
      <c r="Z14" s="5"/>
      <c r="AA14" s="5"/>
    </row>
    <row r="15" spans="1:28" x14ac:dyDescent="0.2">
      <c r="A15" s="3"/>
      <c r="B15" s="3" t="s">
        <v>68</v>
      </c>
      <c r="C15" s="3"/>
      <c r="D15" s="21"/>
      <c r="E15" s="5"/>
      <c r="F15" s="5"/>
      <c r="G15" s="5"/>
      <c r="H15" s="5"/>
      <c r="I15" s="5"/>
      <c r="J15" s="5"/>
      <c r="K15" s="5"/>
      <c r="L15" s="5"/>
      <c r="M15" s="5"/>
      <c r="N15" s="5"/>
      <c r="O15" s="5"/>
      <c r="P15" s="5"/>
      <c r="Q15" s="5"/>
      <c r="R15" s="5"/>
      <c r="S15" s="5"/>
      <c r="T15" s="5"/>
      <c r="U15" s="5"/>
      <c r="V15" s="5"/>
      <c r="W15" s="5"/>
      <c r="X15" s="5"/>
      <c r="Y15" s="5"/>
      <c r="Z15" s="5"/>
      <c r="AA15" s="5"/>
    </row>
    <row r="16" spans="1:28" s="15" customFormat="1" x14ac:dyDescent="0.2">
      <c r="A16" s="3"/>
      <c r="B16" s="3" t="s">
        <v>50</v>
      </c>
      <c r="C16" s="3"/>
      <c r="D16" s="21"/>
      <c r="E16" s="5"/>
      <c r="F16" s="5"/>
      <c r="G16" s="5"/>
      <c r="H16" s="5"/>
      <c r="I16" s="5"/>
      <c r="J16" s="5"/>
      <c r="K16" s="5"/>
      <c r="L16" s="5"/>
      <c r="M16" s="5"/>
      <c r="N16" s="5"/>
      <c r="O16" s="5"/>
      <c r="P16" s="5"/>
      <c r="Q16" s="5"/>
      <c r="R16" s="5"/>
      <c r="S16" s="5"/>
      <c r="T16" s="5"/>
      <c r="U16" s="5"/>
      <c r="V16" s="5"/>
      <c r="W16" s="5"/>
      <c r="X16" s="5"/>
      <c r="Y16" s="5"/>
      <c r="Z16" s="5"/>
      <c r="AA16" s="5"/>
    </row>
    <row r="17" spans="1:28" s="15" customFormat="1" x14ac:dyDescent="0.2">
      <c r="A17" s="3"/>
      <c r="B17" s="56" t="s">
        <v>107</v>
      </c>
      <c r="C17" s="5"/>
      <c r="D17" s="21"/>
      <c r="E17" s="5"/>
      <c r="F17" s="5"/>
      <c r="G17" s="5"/>
      <c r="H17" s="5"/>
      <c r="I17" s="5"/>
      <c r="J17" s="5"/>
      <c r="K17" s="5"/>
      <c r="L17" s="5"/>
      <c r="M17" s="5"/>
      <c r="N17" s="5"/>
      <c r="O17" s="5"/>
      <c r="P17" s="5"/>
      <c r="Q17" s="5"/>
      <c r="R17" s="5"/>
      <c r="S17" s="5"/>
      <c r="T17" s="5"/>
      <c r="U17" s="5"/>
      <c r="V17" s="5"/>
      <c r="W17" s="5"/>
      <c r="X17" s="5"/>
      <c r="Y17" s="5"/>
      <c r="Z17" s="5"/>
      <c r="AA17" s="5"/>
    </row>
    <row r="18" spans="1:28" s="15" customFormat="1" x14ac:dyDescent="0.2">
      <c r="A18" s="3"/>
      <c r="B18" s="56" t="s">
        <v>108</v>
      </c>
      <c r="C18" s="5"/>
      <c r="D18" s="21"/>
      <c r="E18" s="5"/>
      <c r="F18" s="5"/>
      <c r="G18" s="5"/>
      <c r="H18" s="5"/>
      <c r="I18" s="5"/>
      <c r="J18" s="5"/>
      <c r="K18" s="5"/>
      <c r="L18" s="5"/>
      <c r="M18" s="5"/>
      <c r="N18" s="5"/>
      <c r="O18" s="5"/>
      <c r="P18" s="5"/>
      <c r="Q18" s="5"/>
      <c r="R18" s="5"/>
      <c r="S18" s="5"/>
      <c r="T18" s="5"/>
      <c r="U18" s="5"/>
      <c r="V18" s="5"/>
      <c r="W18" s="5"/>
      <c r="X18" s="5"/>
      <c r="Y18" s="5"/>
      <c r="Z18" s="5"/>
      <c r="AA18" s="5"/>
    </row>
    <row r="19" spans="1:28" s="15" customFormat="1" x14ac:dyDescent="0.2">
      <c r="A19" s="3"/>
      <c r="B19" s="56" t="s">
        <v>67</v>
      </c>
      <c r="C19" s="5"/>
      <c r="D19" s="21"/>
      <c r="E19" s="5"/>
      <c r="F19" s="5"/>
      <c r="G19" s="5"/>
      <c r="H19" s="5"/>
      <c r="I19" s="5"/>
      <c r="J19" s="5"/>
      <c r="K19" s="5"/>
      <c r="L19" s="5"/>
      <c r="M19" s="5"/>
      <c r="N19" s="5"/>
      <c r="O19" s="5"/>
      <c r="P19" s="5"/>
      <c r="Q19" s="5"/>
      <c r="R19" s="5"/>
      <c r="S19" s="5"/>
      <c r="T19" s="5"/>
      <c r="U19" s="5"/>
      <c r="V19" s="5"/>
      <c r="W19" s="5"/>
      <c r="X19" s="5"/>
      <c r="Y19" s="5"/>
      <c r="Z19" s="5"/>
      <c r="AA19" s="5"/>
    </row>
    <row r="20" spans="1:28" s="15" customFormat="1" x14ac:dyDescent="0.2">
      <c r="A20" s="3"/>
      <c r="B20" s="56" t="s">
        <v>66</v>
      </c>
      <c r="C20" s="5"/>
      <c r="D20" s="21"/>
      <c r="E20" s="5"/>
      <c r="F20" s="5"/>
      <c r="G20" s="5"/>
      <c r="H20" s="5"/>
      <c r="I20" s="5"/>
      <c r="J20" s="5"/>
      <c r="K20" s="5"/>
      <c r="L20" s="5"/>
      <c r="M20" s="5"/>
      <c r="N20" s="5"/>
      <c r="O20" s="5"/>
      <c r="P20" s="5"/>
      <c r="Q20" s="5"/>
      <c r="R20" s="5"/>
      <c r="S20" s="5"/>
      <c r="T20" s="5"/>
      <c r="U20" s="5"/>
      <c r="V20" s="5"/>
      <c r="W20" s="5"/>
      <c r="X20" s="5"/>
      <c r="Y20" s="5"/>
      <c r="Z20" s="5"/>
      <c r="AA20" s="5"/>
    </row>
    <row r="21" spans="1:28" s="15" customFormat="1" ht="8.1" customHeight="1" x14ac:dyDescent="0.2">
      <c r="A21" s="3"/>
      <c r="B21" s="56"/>
      <c r="C21" s="5"/>
      <c r="D21" s="21"/>
      <c r="E21" s="5"/>
      <c r="F21" s="5"/>
      <c r="G21" s="5"/>
      <c r="H21" s="5"/>
      <c r="I21" s="5"/>
      <c r="J21" s="5"/>
      <c r="K21" s="5"/>
      <c r="L21" s="5"/>
      <c r="M21" s="5"/>
      <c r="N21" s="5"/>
      <c r="O21" s="5"/>
      <c r="P21" s="5"/>
      <c r="Q21" s="5"/>
      <c r="R21" s="5"/>
      <c r="S21" s="5"/>
      <c r="T21" s="5"/>
      <c r="U21" s="5"/>
      <c r="V21" s="5"/>
      <c r="W21" s="5"/>
      <c r="X21" s="5"/>
      <c r="Y21" s="5"/>
      <c r="Z21" s="5"/>
      <c r="AA21" s="5"/>
    </row>
    <row r="22" spans="1:28" x14ac:dyDescent="0.2">
      <c r="A22" s="3"/>
      <c r="B22" s="55" t="s">
        <v>155</v>
      </c>
      <c r="C22" s="5"/>
      <c r="D22" s="21"/>
      <c r="E22" s="5"/>
      <c r="F22" s="5"/>
      <c r="G22" s="5"/>
      <c r="H22" s="5"/>
      <c r="I22" s="5"/>
      <c r="J22" s="5"/>
      <c r="K22" s="5"/>
      <c r="L22" s="5"/>
      <c r="M22" s="5"/>
      <c r="N22" s="5"/>
      <c r="O22" s="5"/>
      <c r="P22" s="5"/>
      <c r="Q22" s="5"/>
      <c r="R22" s="5"/>
      <c r="S22" s="5"/>
      <c r="T22" s="5"/>
      <c r="U22" s="5"/>
      <c r="V22" s="5"/>
      <c r="W22" s="5"/>
      <c r="X22" s="3"/>
      <c r="Y22" s="3"/>
      <c r="Z22" s="6"/>
      <c r="AA22" s="3"/>
      <c r="AB22"/>
    </row>
    <row r="23" spans="1:28" x14ac:dyDescent="0.2">
      <c r="A23" s="3"/>
      <c r="B23" s="55" t="s">
        <v>136</v>
      </c>
      <c r="C23" s="5"/>
      <c r="D23" s="21"/>
      <c r="E23" s="5"/>
      <c r="F23" s="5"/>
      <c r="G23" s="5"/>
      <c r="H23" s="5"/>
      <c r="I23" s="5"/>
      <c r="J23" s="5"/>
      <c r="K23" s="5"/>
      <c r="L23" s="5"/>
      <c r="M23" s="5"/>
      <c r="N23" s="5"/>
      <c r="O23" s="5"/>
      <c r="P23" s="5"/>
      <c r="Q23" s="5"/>
      <c r="R23" s="5"/>
      <c r="S23" s="5"/>
      <c r="T23" s="5"/>
      <c r="U23" s="5"/>
      <c r="V23" s="5"/>
      <c r="W23" s="5"/>
      <c r="X23" s="3"/>
      <c r="Y23" s="3"/>
      <c r="Z23" s="6"/>
      <c r="AA23" s="3"/>
      <c r="AB23"/>
    </row>
    <row r="24" spans="1:28" x14ac:dyDescent="0.2">
      <c r="A24" s="3"/>
      <c r="B24" s="55" t="s">
        <v>135</v>
      </c>
      <c r="C24" s="5"/>
      <c r="D24" s="21"/>
      <c r="E24" s="5"/>
      <c r="F24" s="5"/>
      <c r="G24" s="5"/>
      <c r="H24" s="5"/>
      <c r="I24" s="5"/>
      <c r="J24" s="5"/>
      <c r="K24" s="5"/>
      <c r="L24" s="5"/>
      <c r="M24" s="5"/>
      <c r="N24" s="5"/>
      <c r="O24" s="5"/>
      <c r="P24" s="5"/>
      <c r="Q24" s="5"/>
      <c r="R24" s="5"/>
      <c r="S24" s="5"/>
      <c r="T24" s="5"/>
      <c r="U24" s="5"/>
      <c r="V24" s="5"/>
      <c r="W24" s="5"/>
      <c r="X24" s="3"/>
      <c r="Y24" s="3"/>
      <c r="Z24" s="6"/>
      <c r="AA24" s="3"/>
      <c r="AB24"/>
    </row>
    <row r="25" spans="1:28" x14ac:dyDescent="0.2">
      <c r="A25" s="3"/>
      <c r="B25" s="55" t="s">
        <v>156</v>
      </c>
      <c r="C25" s="5"/>
      <c r="D25" s="21"/>
      <c r="E25" s="5"/>
      <c r="F25" s="5"/>
      <c r="G25" s="5"/>
      <c r="H25" s="5"/>
      <c r="I25" s="5"/>
      <c r="J25" s="5"/>
      <c r="K25" s="5"/>
      <c r="L25" s="5"/>
      <c r="M25" s="5"/>
      <c r="N25" s="5"/>
      <c r="O25" s="5"/>
      <c r="P25" s="5"/>
      <c r="Q25" s="5"/>
      <c r="R25" s="5"/>
      <c r="S25" s="5"/>
      <c r="T25" s="5"/>
      <c r="U25" s="5"/>
      <c r="V25" s="5"/>
      <c r="W25" s="5"/>
      <c r="X25" s="3"/>
      <c r="Y25" s="3"/>
      <c r="Z25" s="6"/>
      <c r="AA25" s="3"/>
      <c r="AB25"/>
    </row>
    <row r="26" spans="1:28" x14ac:dyDescent="0.2">
      <c r="A26" s="3"/>
      <c r="B26" s="55" t="s">
        <v>134</v>
      </c>
      <c r="C26" s="5"/>
      <c r="D26" s="21"/>
      <c r="E26" s="5"/>
      <c r="F26" s="5"/>
      <c r="G26" s="5"/>
      <c r="H26" s="5"/>
      <c r="I26" s="5"/>
      <c r="J26" s="5"/>
      <c r="K26" s="5"/>
      <c r="L26" s="5"/>
      <c r="M26" s="5"/>
      <c r="N26" s="5"/>
      <c r="O26" s="5"/>
      <c r="P26" s="5"/>
      <c r="Q26" s="5"/>
      <c r="R26" s="5"/>
      <c r="S26" s="5"/>
      <c r="T26" s="5"/>
      <c r="U26" s="5"/>
      <c r="V26" s="5"/>
      <c r="W26" s="5"/>
      <c r="X26" s="3"/>
      <c r="Y26" s="3"/>
      <c r="Z26" s="6"/>
      <c r="AA26" s="3"/>
      <c r="AB26"/>
    </row>
    <row r="27" spans="1:28" x14ac:dyDescent="0.2">
      <c r="A27" s="3"/>
      <c r="B27" s="55"/>
      <c r="C27" s="5"/>
      <c r="D27" s="21"/>
      <c r="E27" s="5"/>
      <c r="F27" s="5"/>
      <c r="G27" s="5"/>
      <c r="H27" s="5"/>
      <c r="I27" s="5"/>
      <c r="J27" s="5"/>
      <c r="K27" s="5"/>
      <c r="L27" s="5"/>
      <c r="M27" s="5"/>
      <c r="N27" s="5"/>
      <c r="O27" s="5"/>
      <c r="P27" s="5"/>
      <c r="Q27" s="5"/>
      <c r="R27" s="5"/>
      <c r="S27" s="5"/>
      <c r="T27" s="5"/>
      <c r="U27" s="5"/>
      <c r="V27" s="5"/>
      <c r="W27" s="5"/>
      <c r="X27" s="3"/>
      <c r="Y27" s="3"/>
      <c r="Z27" s="6"/>
      <c r="AA27" s="3"/>
      <c r="AB27"/>
    </row>
    <row r="28" spans="1:28" s="15" customFormat="1" ht="15.4" customHeight="1" x14ac:dyDescent="0.2">
      <c r="A28" s="3"/>
      <c r="B28" s="57" t="s">
        <v>61</v>
      </c>
      <c r="C28" s="5"/>
      <c r="D28" s="21"/>
      <c r="E28" s="5"/>
      <c r="F28" s="5"/>
      <c r="G28" s="5"/>
      <c r="H28" s="5"/>
      <c r="I28" s="5"/>
      <c r="J28" s="5"/>
      <c r="K28" s="5"/>
      <c r="L28" s="5"/>
      <c r="M28" s="5"/>
      <c r="N28" s="5"/>
      <c r="O28" s="5"/>
      <c r="P28" s="5"/>
      <c r="Q28" s="5"/>
      <c r="R28" s="5"/>
      <c r="S28" s="5"/>
      <c r="T28" s="5"/>
      <c r="U28" s="5"/>
      <c r="V28" s="5"/>
      <c r="W28" s="5"/>
      <c r="X28" s="5"/>
      <c r="Y28" s="5"/>
      <c r="Z28" s="5"/>
      <c r="AA28" s="5"/>
    </row>
    <row r="29" spans="1:28" x14ac:dyDescent="0.2">
      <c r="A29" s="3"/>
      <c r="B29" s="58" t="s">
        <v>32</v>
      </c>
      <c r="C29" s="51"/>
      <c r="D29" s="51"/>
      <c r="E29" s="54"/>
      <c r="F29" s="5"/>
      <c r="G29" s="5"/>
      <c r="H29" s="5"/>
      <c r="I29" s="5"/>
      <c r="J29" s="5"/>
      <c r="K29" s="5"/>
      <c r="L29" s="5"/>
      <c r="M29" s="5"/>
      <c r="N29" s="5"/>
      <c r="O29" s="5"/>
      <c r="P29" s="5"/>
      <c r="Q29" s="5"/>
      <c r="R29" s="5"/>
      <c r="S29" s="5"/>
      <c r="T29" s="5"/>
      <c r="U29" s="5"/>
      <c r="V29" s="5"/>
      <c r="W29" s="5"/>
      <c r="X29" s="3"/>
      <c r="Y29" s="3"/>
      <c r="Z29" s="6"/>
      <c r="AA29" s="3"/>
      <c r="AB29"/>
    </row>
    <row r="30" spans="1:28" x14ac:dyDescent="0.2">
      <c r="A30" s="3"/>
      <c r="B30" s="3"/>
      <c r="C30" s="3"/>
      <c r="D30" s="3"/>
      <c r="E30" s="3"/>
      <c r="F30" s="5"/>
      <c r="G30" s="5"/>
      <c r="H30" s="5"/>
      <c r="I30" s="5"/>
      <c r="J30" s="5"/>
      <c r="K30" s="5"/>
      <c r="L30" s="5"/>
      <c r="M30" s="5"/>
      <c r="N30" s="5"/>
      <c r="O30" s="5"/>
      <c r="P30" s="5"/>
      <c r="Q30" s="5"/>
      <c r="R30" s="5"/>
      <c r="S30" s="5"/>
      <c r="T30" s="5"/>
      <c r="U30" s="5"/>
      <c r="V30" s="5"/>
      <c r="W30" s="5"/>
      <c r="X30" s="3"/>
      <c r="Y30" s="3"/>
      <c r="Z30" s="6"/>
      <c r="AA30" s="3"/>
      <c r="AB30"/>
    </row>
  </sheetData>
  <pageMargins left="0.7" right="0.7" top="0.75" bottom="0.75" header="0.3" footer="0.3"/>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FF"/>
  </sheetPr>
  <dimension ref="A1:AI109"/>
  <sheetViews>
    <sheetView topLeftCell="B82" zoomScaleNormal="100" workbookViewId="0"/>
  </sheetViews>
  <sheetFormatPr defaultRowHeight="15" x14ac:dyDescent="0.2"/>
  <cols>
    <col min="1" max="1" width="4.70703125" style="15" customWidth="1"/>
    <col min="2" max="2" width="9.55078125" customWidth="1"/>
    <col min="3" max="3" width="10.76171875" customWidth="1"/>
    <col min="4" max="4" width="7.3984375" customWidth="1"/>
    <col min="5" max="5" width="5.91796875" customWidth="1"/>
    <col min="6" max="6" width="5.91796875" style="1" customWidth="1"/>
    <col min="7" max="26" width="4.9765625" style="1" customWidth="1"/>
    <col min="27" max="27" width="3.359375" customWidth="1"/>
    <col min="29" max="29" width="5.91796875" style="2" customWidth="1"/>
    <col min="34" max="35" width="9.14453125" style="15"/>
  </cols>
  <sheetData>
    <row r="1" spans="1:35" x14ac:dyDescent="0.2">
      <c r="A1" s="17"/>
      <c r="B1" s="23" t="s">
        <v>43</v>
      </c>
      <c r="C1" s="23"/>
      <c r="D1" s="16"/>
      <c r="E1" s="16"/>
      <c r="F1" s="17"/>
      <c r="G1" s="17"/>
      <c r="H1" s="17"/>
      <c r="I1" s="17"/>
      <c r="J1" s="17"/>
      <c r="K1" s="17"/>
      <c r="L1" s="17"/>
      <c r="M1" s="17"/>
      <c r="N1" s="17"/>
      <c r="O1" s="17"/>
      <c r="P1" s="17"/>
      <c r="Q1" s="17"/>
      <c r="R1" s="17"/>
      <c r="S1" s="17"/>
      <c r="T1" s="17"/>
      <c r="U1" s="17"/>
      <c r="V1" s="17"/>
      <c r="W1" s="17"/>
      <c r="X1" s="17"/>
      <c r="Y1" s="17"/>
      <c r="Z1" s="17"/>
      <c r="AA1" s="16"/>
      <c r="AB1" s="16"/>
      <c r="AC1" s="18"/>
      <c r="AD1" s="16"/>
      <c r="AE1" s="16"/>
      <c r="AF1" s="16"/>
      <c r="AG1" s="16"/>
      <c r="AH1" s="16"/>
    </row>
    <row r="2" spans="1:35" x14ac:dyDescent="0.2">
      <c r="A2" s="3"/>
      <c r="B2" s="121" t="s">
        <v>131</v>
      </c>
      <c r="C2" s="3"/>
      <c r="D2" s="3"/>
      <c r="E2" s="3"/>
      <c r="F2" s="3"/>
      <c r="G2" s="5"/>
      <c r="H2" s="5"/>
      <c r="I2" s="5"/>
      <c r="J2" s="5"/>
      <c r="K2" s="5"/>
      <c r="L2" s="5"/>
      <c r="M2" s="5"/>
      <c r="N2" s="5"/>
      <c r="O2" s="5"/>
      <c r="P2" s="5"/>
      <c r="Q2" s="5"/>
      <c r="R2" s="5"/>
      <c r="S2" s="5"/>
      <c r="T2" s="5"/>
      <c r="U2" s="5"/>
      <c r="V2" s="5"/>
      <c r="W2" s="5"/>
      <c r="X2" s="5"/>
      <c r="Y2" s="3"/>
      <c r="Z2" s="3"/>
      <c r="AA2" s="6"/>
      <c r="AB2" s="3"/>
      <c r="AC2" s="3"/>
      <c r="AD2" s="3"/>
      <c r="AE2" s="3"/>
      <c r="AF2" s="3"/>
      <c r="AG2" s="3"/>
      <c r="AH2" s="3"/>
      <c r="AI2"/>
    </row>
    <row r="3" spans="1:35" x14ac:dyDescent="0.2">
      <c r="A3" s="3"/>
      <c r="B3" s="3"/>
      <c r="C3" s="3"/>
      <c r="D3" s="3"/>
      <c r="E3" s="3"/>
      <c r="F3" s="3"/>
      <c r="G3" s="5"/>
      <c r="H3" s="5"/>
      <c r="I3" s="5"/>
      <c r="J3" s="5"/>
      <c r="K3" s="5"/>
      <c r="L3" s="5"/>
      <c r="M3" s="5"/>
      <c r="N3" s="5"/>
      <c r="O3" s="5"/>
      <c r="P3" s="5"/>
      <c r="Q3" s="5"/>
      <c r="R3" s="5"/>
      <c r="S3" s="5"/>
      <c r="T3" s="5"/>
      <c r="U3" s="5"/>
      <c r="V3" s="5"/>
      <c r="W3" s="5"/>
      <c r="X3" s="5"/>
      <c r="Y3" s="3"/>
      <c r="Z3" s="3"/>
      <c r="AA3" s="6"/>
      <c r="AB3" s="3"/>
      <c r="AC3" s="3"/>
      <c r="AD3" s="3"/>
      <c r="AE3" s="3"/>
      <c r="AF3" s="3"/>
      <c r="AG3" s="3"/>
      <c r="AH3" s="3"/>
      <c r="AI3"/>
    </row>
    <row r="4" spans="1:35" x14ac:dyDescent="0.2">
      <c r="A4" s="3"/>
      <c r="B4" s="30"/>
      <c r="C4" s="24"/>
      <c r="D4" s="26" t="s">
        <v>70</v>
      </c>
      <c r="E4" s="66">
        <v>90</v>
      </c>
      <c r="F4" s="117" t="s">
        <v>115</v>
      </c>
      <c r="G4" s="5"/>
      <c r="H4" s="5"/>
      <c r="I4" s="5"/>
      <c r="J4" s="5"/>
      <c r="K4" s="5"/>
      <c r="L4" s="5"/>
      <c r="M4" s="5"/>
      <c r="N4" s="5"/>
      <c r="O4" s="5"/>
      <c r="P4" s="5"/>
      <c r="Q4" s="5"/>
      <c r="R4" s="5"/>
      <c r="S4" s="5"/>
      <c r="T4" s="5"/>
      <c r="U4" s="5"/>
      <c r="V4" s="5"/>
      <c r="W4" s="5"/>
      <c r="X4" s="5"/>
      <c r="Y4" s="3"/>
      <c r="Z4" s="3"/>
      <c r="AA4" s="6"/>
      <c r="AB4" s="3"/>
      <c r="AC4" s="3"/>
      <c r="AD4" s="3"/>
      <c r="AE4" s="3"/>
      <c r="AF4" s="3"/>
      <c r="AG4" s="3"/>
      <c r="AH4" s="3"/>
      <c r="AI4"/>
    </row>
    <row r="5" spans="1:35" x14ac:dyDescent="0.2">
      <c r="A5" s="3"/>
      <c r="B5" s="8"/>
      <c r="C5" s="7"/>
      <c r="D5" s="115" t="s">
        <v>114</v>
      </c>
      <c r="E5" s="87" t="str">
        <f>E6&amp;"-"&amp;E4</f>
        <v>10-90</v>
      </c>
      <c r="F5" s="118" t="s">
        <v>117</v>
      </c>
      <c r="G5" s="5"/>
      <c r="H5" s="5"/>
      <c r="I5" s="5"/>
      <c r="J5" s="5"/>
      <c r="K5" s="5"/>
      <c r="L5" s="5"/>
      <c r="M5" s="5"/>
      <c r="N5" s="5"/>
      <c r="O5" s="5"/>
      <c r="P5" s="5"/>
      <c r="Q5" s="5"/>
      <c r="R5" s="5"/>
      <c r="S5" s="5"/>
      <c r="T5" s="5"/>
      <c r="U5" s="5"/>
      <c r="V5" s="5"/>
      <c r="W5" s="5"/>
      <c r="X5" s="5"/>
      <c r="Y5" s="3"/>
      <c r="Z5" s="3"/>
      <c r="AA5" s="6"/>
      <c r="AB5" s="3"/>
      <c r="AC5" s="3"/>
      <c r="AD5" s="3"/>
      <c r="AE5" s="3"/>
      <c r="AF5" s="3"/>
      <c r="AG5" s="3"/>
      <c r="AH5" s="3"/>
      <c r="AI5"/>
    </row>
    <row r="6" spans="1:35" x14ac:dyDescent="0.2">
      <c r="A6" s="3"/>
      <c r="B6" s="8"/>
      <c r="C6" s="7"/>
      <c r="D6" s="115" t="s">
        <v>69</v>
      </c>
      <c r="E6" s="87">
        <f>100-E4</f>
        <v>10</v>
      </c>
      <c r="F6" s="118" t="s">
        <v>116</v>
      </c>
      <c r="G6" s="5"/>
      <c r="H6" s="5"/>
      <c r="I6" s="5"/>
      <c r="J6" s="5"/>
      <c r="K6" s="5"/>
      <c r="L6" s="5"/>
      <c r="M6" s="5"/>
      <c r="N6" s="5"/>
      <c r="O6" s="5"/>
      <c r="P6" s="5"/>
      <c r="Q6" s="5"/>
      <c r="R6" s="5"/>
      <c r="S6" s="5"/>
      <c r="T6" s="5"/>
      <c r="U6" s="5"/>
      <c r="V6" s="5"/>
      <c r="W6" s="5"/>
      <c r="X6" s="5"/>
      <c r="Y6" s="3"/>
      <c r="Z6" s="3"/>
      <c r="AA6" s="6"/>
      <c r="AB6" s="3"/>
      <c r="AC6" s="3"/>
      <c r="AD6" s="3"/>
      <c r="AE6" s="3"/>
      <c r="AF6" s="3"/>
      <c r="AG6" s="3"/>
      <c r="AH6" s="3"/>
      <c r="AI6"/>
    </row>
    <row r="7" spans="1:35" x14ac:dyDescent="0.2">
      <c r="A7" s="3"/>
      <c r="B7" s="32" t="s">
        <v>125</v>
      </c>
      <c r="C7" s="25"/>
      <c r="D7" s="25"/>
      <c r="E7" s="25"/>
      <c r="F7" s="119"/>
      <c r="G7" s="5"/>
      <c r="H7" s="5"/>
      <c r="I7" s="5"/>
      <c r="J7" s="5"/>
      <c r="K7" s="5"/>
      <c r="L7" s="5"/>
      <c r="M7" s="5"/>
      <c r="N7" s="5"/>
      <c r="O7" s="5"/>
      <c r="P7" s="5"/>
      <c r="Q7" s="5"/>
      <c r="R7" s="5"/>
      <c r="S7" s="5"/>
      <c r="T7" s="5"/>
      <c r="U7" s="5"/>
      <c r="V7" s="5"/>
      <c r="W7" s="5"/>
      <c r="X7" s="5"/>
      <c r="Y7" s="3"/>
      <c r="Z7" s="3"/>
      <c r="AA7" s="6"/>
      <c r="AB7" s="3"/>
      <c r="AC7" s="3"/>
      <c r="AD7" s="3"/>
      <c r="AE7" s="3"/>
      <c r="AF7" s="3"/>
      <c r="AG7" s="3"/>
      <c r="AH7" s="3"/>
      <c r="AI7"/>
    </row>
    <row r="8" spans="1:35" s="15" customFormat="1" x14ac:dyDescent="0.2">
      <c r="A8" s="3"/>
      <c r="B8" s="3"/>
      <c r="C8" s="55"/>
      <c r="D8" s="5"/>
      <c r="E8" s="21"/>
      <c r="F8" s="5"/>
      <c r="G8" s="5"/>
      <c r="H8" s="5"/>
      <c r="I8" s="5"/>
      <c r="J8" s="5"/>
      <c r="K8" s="5"/>
      <c r="L8" s="5"/>
      <c r="M8" s="5"/>
      <c r="N8" s="5"/>
      <c r="O8" s="5"/>
      <c r="P8" s="5"/>
      <c r="Q8" s="5"/>
      <c r="R8" s="5"/>
      <c r="S8" s="5"/>
      <c r="T8" s="5"/>
      <c r="U8" s="5"/>
      <c r="V8" s="5"/>
      <c r="W8" s="5"/>
      <c r="X8" s="5"/>
      <c r="Y8" s="5"/>
      <c r="Z8" s="5"/>
      <c r="AA8" s="5"/>
      <c r="AB8" s="5"/>
      <c r="AC8" s="6"/>
      <c r="AD8" s="3"/>
      <c r="AE8" s="3"/>
      <c r="AF8" s="3"/>
      <c r="AG8" s="3"/>
      <c r="AH8" s="3"/>
    </row>
    <row r="9" spans="1:35" s="15" customFormat="1" x14ac:dyDescent="0.2">
      <c r="A9" s="3"/>
      <c r="B9" s="3"/>
      <c r="C9" s="68"/>
      <c r="D9" s="69" t="s">
        <v>44</v>
      </c>
      <c r="E9" s="66">
        <v>50</v>
      </c>
      <c r="F9" s="5"/>
      <c r="G9" s="5"/>
      <c r="H9" s="5"/>
      <c r="I9" s="5"/>
      <c r="J9" s="5"/>
      <c r="K9" s="5"/>
      <c r="L9" s="5"/>
      <c r="M9" s="5"/>
      <c r="N9" s="5"/>
      <c r="O9" s="5"/>
      <c r="P9" s="5"/>
      <c r="Q9" s="5"/>
      <c r="R9" s="5"/>
      <c r="S9" s="5"/>
      <c r="T9" s="5"/>
      <c r="U9" s="5"/>
      <c r="V9" s="5"/>
      <c r="W9" s="5"/>
      <c r="X9" s="5"/>
      <c r="Y9" s="5"/>
      <c r="Z9" s="5"/>
      <c r="AA9" s="5"/>
      <c r="AB9" s="5"/>
      <c r="AC9" s="6"/>
      <c r="AD9" s="3"/>
      <c r="AE9" s="3"/>
      <c r="AF9" s="3"/>
      <c r="AG9" s="3"/>
      <c r="AH9" s="3"/>
    </row>
    <row r="10" spans="1:35" s="15" customFormat="1" x14ac:dyDescent="0.2">
      <c r="A10" s="3"/>
      <c r="B10" s="3"/>
      <c r="C10" s="65"/>
      <c r="D10" s="20" t="s">
        <v>45</v>
      </c>
      <c r="E10" s="12"/>
      <c r="F10" s="5"/>
      <c r="G10" s="5"/>
      <c r="H10" s="5"/>
      <c r="I10" s="5"/>
      <c r="J10" s="5"/>
      <c r="K10" s="5"/>
      <c r="L10" s="5"/>
      <c r="M10" s="5"/>
      <c r="N10" s="5"/>
      <c r="O10" s="5"/>
      <c r="P10" s="5"/>
      <c r="Q10" s="5"/>
      <c r="R10" s="5"/>
      <c r="S10" s="5"/>
      <c r="T10" s="5"/>
      <c r="U10" s="5"/>
      <c r="V10" s="5"/>
      <c r="W10" s="5"/>
      <c r="X10" s="5"/>
      <c r="Y10" s="5"/>
      <c r="Z10" s="5"/>
      <c r="AA10" s="5"/>
      <c r="AB10" s="5"/>
      <c r="AC10" s="6"/>
      <c r="AD10" s="3"/>
      <c r="AE10" s="3"/>
      <c r="AF10" s="3"/>
      <c r="AG10" s="3"/>
      <c r="AH10" s="3"/>
    </row>
    <row r="11" spans="1:35" s="15" customFormat="1" x14ac:dyDescent="0.2">
      <c r="A11" s="3"/>
      <c r="B11" s="3"/>
      <c r="C11" s="65"/>
      <c r="D11" s="20" t="s">
        <v>46</v>
      </c>
      <c r="E11" s="12">
        <v>-10</v>
      </c>
      <c r="F11" s="71" t="str">
        <f>IF(AND(ISNUMBER(E10),ISNUMBER(E11)),"Error: insert either a raw or percent trend, not both.","")</f>
        <v/>
      </c>
      <c r="G11" s="5"/>
      <c r="H11" s="5"/>
      <c r="I11" s="5"/>
      <c r="J11" s="5"/>
      <c r="K11" s="5"/>
      <c r="L11" s="5"/>
      <c r="M11" s="5"/>
      <c r="N11" s="5"/>
      <c r="O11" s="5"/>
      <c r="P11" s="5"/>
      <c r="Q11" s="5"/>
      <c r="R11" s="5"/>
      <c r="S11" s="5"/>
      <c r="T11" s="5"/>
      <c r="U11" s="5"/>
      <c r="V11" s="5"/>
      <c r="W11" s="5"/>
      <c r="X11" s="5"/>
      <c r="Y11" s="5"/>
      <c r="Z11" s="5"/>
      <c r="AA11" s="5"/>
      <c r="AB11" s="5"/>
      <c r="AC11" s="6"/>
      <c r="AD11" s="3"/>
      <c r="AE11" s="3"/>
      <c r="AF11" s="3"/>
      <c r="AG11" s="3"/>
      <c r="AH11" s="3"/>
    </row>
    <row r="12" spans="1:35" s="15" customFormat="1" x14ac:dyDescent="0.2">
      <c r="A12" s="3"/>
      <c r="B12" s="3"/>
      <c r="C12" s="64"/>
      <c r="D12" s="33" t="s">
        <v>28</v>
      </c>
      <c r="E12" s="28">
        <v>10</v>
      </c>
      <c r="F12" s="6" t="s">
        <v>29</v>
      </c>
      <c r="G12" s="5"/>
      <c r="H12" s="5"/>
      <c r="I12" s="5"/>
      <c r="J12" s="5"/>
      <c r="K12" s="5"/>
      <c r="L12" s="5"/>
      <c r="M12" s="5"/>
      <c r="N12" s="5"/>
      <c r="O12" s="5"/>
      <c r="P12" s="5"/>
      <c r="Q12" s="5"/>
      <c r="R12" s="5"/>
      <c r="S12" s="5"/>
      <c r="T12" s="5"/>
      <c r="U12" s="5"/>
      <c r="V12" s="5"/>
      <c r="W12" s="5"/>
      <c r="X12" s="5"/>
      <c r="Y12" s="5"/>
      <c r="Z12" s="5"/>
      <c r="AA12" s="5"/>
      <c r="AB12" s="5"/>
      <c r="AC12" s="6"/>
      <c r="AD12" s="3"/>
      <c r="AE12" s="3"/>
      <c r="AF12" s="3"/>
      <c r="AG12" s="3"/>
      <c r="AH12" s="3"/>
    </row>
    <row r="13" spans="1:35" s="15" customFormat="1" x14ac:dyDescent="0.2">
      <c r="A13" s="3"/>
      <c r="B13" s="3"/>
      <c r="C13" s="70"/>
      <c r="D13" s="70"/>
      <c r="E13" s="27"/>
      <c r="F13" s="6"/>
      <c r="G13" s="5"/>
      <c r="H13" s="5"/>
      <c r="I13" s="5"/>
      <c r="J13" s="5"/>
      <c r="K13" s="5"/>
      <c r="L13" s="5"/>
      <c r="M13" s="5"/>
      <c r="N13" s="5"/>
      <c r="O13" s="5"/>
      <c r="P13" s="5"/>
      <c r="Q13" s="5"/>
      <c r="R13" s="5"/>
      <c r="S13" s="5"/>
      <c r="T13" s="5"/>
      <c r="U13" s="5"/>
      <c r="V13" s="5"/>
      <c r="W13" s="5"/>
      <c r="X13" s="5"/>
      <c r="Y13" s="5"/>
      <c r="Z13" s="5"/>
      <c r="AA13" s="5"/>
      <c r="AB13" s="5"/>
      <c r="AC13" s="6"/>
      <c r="AD13" s="3"/>
      <c r="AE13" s="3"/>
      <c r="AF13" s="3"/>
      <c r="AG13" s="3"/>
      <c r="AH13" s="3"/>
    </row>
    <row r="14" spans="1:35" s="15" customFormat="1" x14ac:dyDescent="0.2">
      <c r="A14" s="3"/>
      <c r="B14" s="3"/>
      <c r="C14" s="73"/>
      <c r="D14" s="88"/>
      <c r="E14" s="69" t="s">
        <v>47</v>
      </c>
      <c r="F14" s="67">
        <v>0</v>
      </c>
      <c r="G14" s="66">
        <v>0</v>
      </c>
      <c r="H14" s="66">
        <v>0</v>
      </c>
      <c r="I14" s="66">
        <v>0</v>
      </c>
      <c r="J14" s="66">
        <v>0</v>
      </c>
      <c r="K14" s="66">
        <v>0</v>
      </c>
      <c r="L14" s="66">
        <v>0</v>
      </c>
      <c r="M14" s="66">
        <v>0</v>
      </c>
      <c r="N14" s="66">
        <v>0</v>
      </c>
      <c r="O14" s="66">
        <v>0</v>
      </c>
      <c r="P14" s="66">
        <v>0</v>
      </c>
      <c r="Q14" s="66">
        <v>1</v>
      </c>
      <c r="R14" s="66">
        <v>3</v>
      </c>
      <c r="S14" s="66">
        <v>5</v>
      </c>
      <c r="T14" s="66">
        <v>4</v>
      </c>
      <c r="U14" s="66">
        <v>3</v>
      </c>
      <c r="V14" s="66">
        <v>0</v>
      </c>
      <c r="W14" s="66">
        <v>0</v>
      </c>
      <c r="X14" s="66">
        <v>0</v>
      </c>
      <c r="Y14" s="66">
        <v>0</v>
      </c>
      <c r="Z14" s="66">
        <v>0</v>
      </c>
      <c r="AA14" s="5"/>
      <c r="AB14" s="5"/>
      <c r="AC14" s="6"/>
      <c r="AD14" s="3"/>
      <c r="AE14" s="3"/>
      <c r="AF14" s="3"/>
      <c r="AG14" s="3"/>
      <c r="AH14" s="3"/>
    </row>
    <row r="15" spans="1:35" s="15" customFormat="1" x14ac:dyDescent="0.2">
      <c r="A15" s="3"/>
      <c r="B15" s="3"/>
      <c r="C15" s="22"/>
      <c r="D15" s="3"/>
      <c r="E15" s="3"/>
      <c r="F15" s="5"/>
      <c r="G15" s="5"/>
      <c r="H15" s="5"/>
      <c r="I15" s="5"/>
      <c r="J15" s="5"/>
      <c r="K15" s="5"/>
      <c r="L15" s="5"/>
      <c r="M15" s="5"/>
      <c r="N15" s="5"/>
      <c r="O15" s="5"/>
      <c r="P15" s="5"/>
      <c r="Q15" s="5"/>
      <c r="R15" s="5"/>
      <c r="S15" s="5"/>
      <c r="T15" s="5"/>
      <c r="U15" s="5"/>
      <c r="V15" s="5"/>
      <c r="W15" s="5"/>
      <c r="X15" s="5"/>
      <c r="Y15" s="5"/>
      <c r="Z15" s="5"/>
      <c r="AA15" s="3"/>
      <c r="AB15" s="3"/>
      <c r="AC15" s="6"/>
      <c r="AD15" s="3"/>
      <c r="AE15" s="3"/>
      <c r="AF15" s="3"/>
      <c r="AG15" s="3"/>
      <c r="AH15" s="3"/>
    </row>
    <row r="16" spans="1:35" s="15" customFormat="1" x14ac:dyDescent="0.2">
      <c r="A16" s="3"/>
      <c r="B16" s="3"/>
      <c r="C16" s="3"/>
      <c r="D16" s="3"/>
      <c r="E16" s="3"/>
      <c r="F16" s="20" t="s">
        <v>92</v>
      </c>
      <c r="G16" s="5"/>
      <c r="H16" s="5"/>
      <c r="I16" s="5"/>
      <c r="J16" s="5"/>
      <c r="K16" s="5"/>
      <c r="L16" s="5"/>
      <c r="M16" s="5"/>
      <c r="N16" s="5"/>
      <c r="O16" s="5"/>
      <c r="P16" s="5"/>
      <c r="Q16" s="5"/>
      <c r="R16" s="5"/>
      <c r="S16" s="5"/>
      <c r="T16" s="5"/>
      <c r="U16" s="5"/>
      <c r="V16" s="5"/>
      <c r="W16" s="5"/>
      <c r="X16" s="5"/>
      <c r="Y16" s="5"/>
      <c r="Z16" s="5"/>
      <c r="AA16" s="5"/>
      <c r="AB16" s="3"/>
      <c r="AC16" s="6"/>
      <c r="AD16" s="3"/>
      <c r="AE16" s="3"/>
      <c r="AF16" s="3"/>
      <c r="AG16" s="3"/>
      <c r="AH16" s="3"/>
    </row>
    <row r="17" spans="1:34" s="15" customFormat="1" x14ac:dyDescent="0.2">
      <c r="A17" s="3"/>
      <c r="B17" s="3"/>
      <c r="C17" s="3"/>
      <c r="D17" s="3"/>
      <c r="E17" s="3"/>
      <c r="F17" s="20" t="s">
        <v>91</v>
      </c>
      <c r="G17" s="5"/>
      <c r="H17" s="5"/>
      <c r="I17" s="5"/>
      <c r="J17" s="5"/>
      <c r="K17" s="5"/>
      <c r="L17" s="5"/>
      <c r="M17" s="5"/>
      <c r="N17" s="5"/>
      <c r="O17" s="5"/>
      <c r="P17" s="5"/>
      <c r="Q17" s="5"/>
      <c r="R17" s="5"/>
      <c r="S17" s="5"/>
      <c r="T17" s="5"/>
      <c r="U17" s="5"/>
      <c r="V17" s="5"/>
      <c r="W17" s="5"/>
      <c r="X17" s="5"/>
      <c r="Y17" s="5"/>
      <c r="Z17" s="5"/>
      <c r="AA17" s="5"/>
      <c r="AB17" s="3"/>
      <c r="AC17" s="6"/>
      <c r="AD17" s="3"/>
      <c r="AE17" s="3"/>
      <c r="AF17" s="3"/>
      <c r="AG17" s="3"/>
      <c r="AH17" s="3"/>
    </row>
    <row r="18" spans="1:34" s="15" customFormat="1" x14ac:dyDescent="0.2">
      <c r="A18" s="3"/>
      <c r="B18" s="30"/>
      <c r="C18" s="31" t="s">
        <v>83</v>
      </c>
      <c r="D18" s="140">
        <f>IF(E18+E19=0,IF('Trend Data'!E13+'Trend Data'!E14=0,'Trend Data'!F68,IF('Trend Data'!E13&gt;0,'Trend Data'!E13,0)),IF(E18=0,0,E18))</f>
        <v>0</v>
      </c>
      <c r="E18" s="61"/>
      <c r="F18" s="92"/>
      <c r="G18" s="5"/>
      <c r="H18" s="5"/>
      <c r="I18" s="5"/>
      <c r="J18" s="5"/>
      <c r="K18" s="5"/>
      <c r="L18" s="5"/>
      <c r="M18" s="5"/>
      <c r="N18" s="5"/>
      <c r="O18" s="5"/>
      <c r="P18" s="5"/>
      <c r="Q18" s="5"/>
      <c r="R18" s="5"/>
      <c r="S18" s="5"/>
      <c r="T18" s="5"/>
      <c r="U18" s="5"/>
      <c r="V18" s="5"/>
      <c r="W18" s="5"/>
      <c r="X18" s="5"/>
      <c r="Y18" s="5"/>
      <c r="Z18" s="5"/>
      <c r="AA18" s="5"/>
      <c r="AB18" s="3"/>
      <c r="AC18" s="6"/>
      <c r="AD18" s="3"/>
      <c r="AE18" s="3"/>
      <c r="AF18" s="3"/>
      <c r="AG18" s="3"/>
      <c r="AH18" s="3"/>
    </row>
    <row r="19" spans="1:34" s="15" customFormat="1" x14ac:dyDescent="0.2">
      <c r="A19" s="3"/>
      <c r="B19" s="8"/>
      <c r="C19" s="20" t="s">
        <v>5</v>
      </c>
      <c r="D19" s="149">
        <f>IF(E18+E19=0,'Trend Data'!D14,IF(E19=0,0,E19))</f>
        <v>3</v>
      </c>
      <c r="E19" s="28"/>
      <c r="F19" s="34" t="str">
        <f>IF(AND(E18+E19=0,'Trend Data'!E13+'Trend Data'!E14&gt;0),"Typical error from Trend Data spreadsheet is used for inferences.",IF(AND(E20="",E19+E18&gt;0),"Error: delete the typical error or insert degrees of freedom.",IF(AND(ISNUMBER(E18),ISNUMBER(E19)),"Error: insert either a raw or percent typical error, not both.","")))</f>
        <v>Typical error from Trend Data spreadsheet is used for inferences.</v>
      </c>
      <c r="G19" s="5"/>
      <c r="H19" s="5"/>
      <c r="I19" s="5"/>
      <c r="J19" s="5"/>
      <c r="K19" s="5"/>
      <c r="L19" s="5"/>
      <c r="M19" s="5"/>
      <c r="N19" s="5"/>
      <c r="O19" s="5"/>
      <c r="P19" s="5"/>
      <c r="Q19" s="5"/>
      <c r="R19" s="5"/>
      <c r="S19" s="5"/>
      <c r="T19" s="5"/>
      <c r="U19" s="5"/>
      <c r="V19" s="5"/>
      <c r="W19" s="5"/>
      <c r="X19" s="5"/>
      <c r="Y19" s="5"/>
      <c r="Z19" s="5"/>
      <c r="AA19" s="8"/>
      <c r="AB19" s="3"/>
      <c r="AC19" s="6"/>
      <c r="AD19" s="3"/>
      <c r="AE19" s="3"/>
      <c r="AF19" s="3"/>
      <c r="AG19" s="3"/>
      <c r="AH19" s="3"/>
    </row>
    <row r="20" spans="1:34" s="15" customFormat="1" x14ac:dyDescent="0.2">
      <c r="A20" s="3"/>
      <c r="B20" s="32"/>
      <c r="C20" s="33" t="s">
        <v>35</v>
      </c>
      <c r="D20" s="135">
        <f>IF(ISBLANK(E20),IF('Trend Data'!E15=0,'Trend Data'!F72-2,'Trend Data'!E15),E20)</f>
        <v>19</v>
      </c>
      <c r="E20" s="28"/>
      <c r="F20" s="36" t="str">
        <f>IF(AND(E18+E19=0,E20&gt;0),"Error: insert a raw or percent typical error or delete degrees of freedom.",IF(D20='Trend Data'!F72-2,"Typical error of estimate from Trend Data spreadsheet is used for inferences."&amp;IF('Trend Data'!F72&lt;10," But "&amp;'Trend Data'!F72&amp;" time points do not provide an accurate estimate.",""),""))</f>
        <v/>
      </c>
      <c r="G20" s="5"/>
      <c r="H20" s="5"/>
      <c r="I20" s="5"/>
      <c r="J20" s="5"/>
      <c r="K20" s="5"/>
      <c r="L20" s="5"/>
      <c r="M20" s="5"/>
      <c r="N20" s="5"/>
      <c r="O20" s="5"/>
      <c r="P20" s="5"/>
      <c r="Q20" s="5"/>
      <c r="R20" s="5"/>
      <c r="S20" s="5"/>
      <c r="T20" s="5"/>
      <c r="U20" s="5"/>
      <c r="V20" s="5"/>
      <c r="W20" s="5"/>
      <c r="X20" s="5"/>
      <c r="Y20" s="5"/>
      <c r="Z20" s="5"/>
      <c r="AA20" s="8" t="s">
        <v>41</v>
      </c>
      <c r="AB20" s="152"/>
      <c r="AC20" s="153"/>
      <c r="AD20" s="3"/>
      <c r="AE20" s="3"/>
      <c r="AF20" s="3"/>
      <c r="AG20" s="3"/>
      <c r="AH20" s="3"/>
    </row>
    <row r="21" spans="1:34" s="15" customFormat="1" x14ac:dyDescent="0.2">
      <c r="A21" s="3"/>
      <c r="B21" s="3"/>
      <c r="C21" s="30"/>
      <c r="D21" s="31" t="s">
        <v>89</v>
      </c>
      <c r="E21" s="141">
        <f>IF(ISBLANK('Trend Data'!E16),0,'Trend Data'!E16)</f>
        <v>0</v>
      </c>
      <c r="F21" s="34" t="str">
        <f>IF(OR(E21&gt;0,E22&gt;0),"","Error: you must insert a positive value for the smallest important change in raw or percent units.")</f>
        <v/>
      </c>
      <c r="G21" s="5"/>
      <c r="H21" s="5"/>
      <c r="I21" s="5"/>
      <c r="J21" s="5"/>
      <c r="K21" s="5"/>
      <c r="L21" s="5"/>
      <c r="M21" s="5"/>
      <c r="N21" s="5"/>
      <c r="O21" s="5"/>
      <c r="P21" s="5"/>
      <c r="Q21" s="5"/>
      <c r="R21" s="5"/>
      <c r="S21" s="5"/>
      <c r="T21" s="5"/>
      <c r="U21" s="5"/>
      <c r="V21" s="5"/>
      <c r="W21" s="5"/>
      <c r="X21" s="5"/>
      <c r="Y21" s="5"/>
      <c r="Z21" s="5"/>
      <c r="AA21" s="8"/>
      <c r="AB21" s="152"/>
      <c r="AC21" s="153"/>
      <c r="AD21" s="3"/>
      <c r="AE21" s="3"/>
      <c r="AF21" s="3"/>
      <c r="AG21" s="3"/>
      <c r="AH21" s="3"/>
    </row>
    <row r="22" spans="1:34" s="15" customFormat="1" x14ac:dyDescent="0.2">
      <c r="A22" s="3"/>
      <c r="B22" s="3"/>
      <c r="C22" s="8"/>
      <c r="D22" s="20" t="s">
        <v>48</v>
      </c>
      <c r="E22" s="141">
        <f>IF(ISBLANK('Trend Data'!E17),0,'Trend Data'!E17)</f>
        <v>2.5</v>
      </c>
      <c r="F22" s="35" t="str">
        <f>IF(AND(E21&gt;0,E22&gt;0),"Error: insert either a raw or percent smallest important change, not both.","")</f>
        <v/>
      </c>
      <c r="G22" s="5"/>
      <c r="H22" s="5"/>
      <c r="I22" s="5"/>
      <c r="J22" s="5"/>
      <c r="K22" s="5"/>
      <c r="L22" s="5"/>
      <c r="M22" s="5"/>
      <c r="N22" s="5"/>
      <c r="O22" s="5"/>
      <c r="P22" s="5"/>
      <c r="Q22" s="5"/>
      <c r="R22" s="5"/>
      <c r="S22" s="5"/>
      <c r="T22" s="5"/>
      <c r="U22" s="5"/>
      <c r="V22" s="5"/>
      <c r="W22" s="5"/>
      <c r="X22" s="5"/>
      <c r="Y22" s="5"/>
      <c r="Z22" s="5"/>
      <c r="AA22" s="8"/>
      <c r="AB22" s="152"/>
      <c r="AC22" s="153"/>
      <c r="AD22" s="3"/>
      <c r="AE22" s="3"/>
      <c r="AF22" s="3"/>
      <c r="AG22" s="3"/>
      <c r="AH22" s="3"/>
    </row>
    <row r="23" spans="1:34" s="15" customFormat="1" x14ac:dyDescent="0.2">
      <c r="A23" s="3"/>
      <c r="B23" s="130"/>
      <c r="C23" s="131"/>
      <c r="D23" s="132"/>
      <c r="E23" s="131"/>
      <c r="F23" s="133" t="s">
        <v>105</v>
      </c>
      <c r="G23" s="5"/>
      <c r="H23" s="5"/>
      <c r="I23" s="5"/>
      <c r="J23" s="5"/>
      <c r="K23" s="5"/>
      <c r="L23" s="5"/>
      <c r="M23" s="5"/>
      <c r="N23" s="5"/>
      <c r="O23" s="5"/>
      <c r="P23" s="5"/>
      <c r="Q23" s="5"/>
      <c r="R23" s="5"/>
      <c r="S23" s="5"/>
      <c r="T23" s="5"/>
      <c r="U23" s="5"/>
      <c r="V23" s="5"/>
      <c r="W23" s="5"/>
      <c r="X23" s="5"/>
      <c r="Y23" s="5"/>
      <c r="Z23" s="5"/>
      <c r="AA23" s="8"/>
      <c r="AB23" s="152"/>
      <c r="AC23" s="153"/>
      <c r="AD23" s="3"/>
      <c r="AE23" s="3"/>
      <c r="AF23" s="3"/>
      <c r="AG23" s="3"/>
      <c r="AH23" s="3"/>
    </row>
    <row r="24" spans="1:34" s="15" customFormat="1" x14ac:dyDescent="0.2">
      <c r="A24" s="3"/>
      <c r="B24" s="122"/>
      <c r="C24" s="97"/>
      <c r="D24" s="98" t="s">
        <v>110</v>
      </c>
      <c r="E24" s="12"/>
      <c r="F24" s="123" t="str">
        <f>IF(AND(ISBLANK(E24),ISBLANK(E25)),"True change is zero until you insert a number.","")</f>
        <v>True change is zero until you insert a number.</v>
      </c>
      <c r="G24" s="5"/>
      <c r="H24" s="5"/>
      <c r="I24" s="5"/>
      <c r="J24" s="5"/>
      <c r="K24" s="5"/>
      <c r="L24" s="5"/>
      <c r="M24" s="5"/>
      <c r="N24" s="5"/>
      <c r="O24" s="5"/>
      <c r="P24" s="5"/>
      <c r="Q24" s="5"/>
      <c r="R24" s="5"/>
      <c r="S24" s="5"/>
      <c r="T24" s="5"/>
      <c r="U24" s="5"/>
      <c r="V24" s="5"/>
      <c r="W24" s="5"/>
      <c r="X24" s="5"/>
      <c r="Y24" s="5"/>
      <c r="Z24" s="5"/>
      <c r="AA24" s="8"/>
      <c r="AB24" s="152"/>
      <c r="AC24" s="153"/>
      <c r="AD24" s="3"/>
      <c r="AE24" s="3"/>
      <c r="AF24" s="3"/>
      <c r="AG24" s="3"/>
      <c r="AH24" s="3"/>
    </row>
    <row r="25" spans="1:34" s="15" customFormat="1" x14ac:dyDescent="0.2">
      <c r="A25" s="3"/>
      <c r="B25" s="122"/>
      <c r="C25" s="98"/>
      <c r="D25" s="98" t="s">
        <v>111</v>
      </c>
      <c r="E25" s="28"/>
      <c r="F25" s="123" t="str">
        <f>IF(AND(ISNUMBER(E24),ISNUMBER(E25)),"Error: insert either a raw or percent true change, not both.","")</f>
        <v/>
      </c>
      <c r="G25" s="5"/>
      <c r="H25" s="5"/>
      <c r="I25" s="5"/>
      <c r="J25" s="5"/>
      <c r="K25" s="5"/>
      <c r="L25" s="5"/>
      <c r="M25" s="5"/>
      <c r="N25" s="5"/>
      <c r="O25" s="5"/>
      <c r="P25" s="5"/>
      <c r="Q25" s="5"/>
      <c r="R25" s="5"/>
      <c r="S25" s="5"/>
      <c r="T25" s="5"/>
      <c r="U25" s="5"/>
      <c r="V25" s="5"/>
      <c r="W25" s="5"/>
      <c r="X25" s="5"/>
      <c r="Y25" s="5"/>
      <c r="Z25" s="5"/>
      <c r="AA25" s="8"/>
      <c r="AB25" s="152"/>
      <c r="AC25" s="153"/>
      <c r="AD25" s="3"/>
      <c r="AE25" s="3"/>
      <c r="AF25" s="3"/>
      <c r="AG25" s="3"/>
      <c r="AH25" s="3"/>
    </row>
    <row r="26" spans="1:34" s="15" customFormat="1" x14ac:dyDescent="0.2">
      <c r="A26" s="3"/>
      <c r="B26" s="122"/>
      <c r="C26" s="98"/>
      <c r="D26" s="98"/>
      <c r="E26" s="113" t="s">
        <v>113</v>
      </c>
      <c r="F26" s="124" t="s">
        <v>152</v>
      </c>
      <c r="G26" s="5"/>
      <c r="H26" s="5"/>
      <c r="I26" s="5"/>
      <c r="J26" s="5"/>
      <c r="K26" s="5"/>
      <c r="L26" s="5"/>
      <c r="M26" s="5"/>
      <c r="N26" s="5"/>
      <c r="O26" s="5"/>
      <c r="P26" s="5"/>
      <c r="Q26" s="5"/>
      <c r="R26" s="5"/>
      <c r="S26" s="5"/>
      <c r="T26" s="5"/>
      <c r="U26" s="5"/>
      <c r="V26" s="5"/>
      <c r="W26" s="5"/>
      <c r="X26" s="5"/>
      <c r="Y26" s="5"/>
      <c r="Z26" s="5"/>
      <c r="AA26" s="8"/>
      <c r="AB26" s="152"/>
      <c r="AC26" s="153"/>
      <c r="AD26" s="3"/>
      <c r="AE26" s="3"/>
      <c r="AF26" s="3"/>
      <c r="AG26" s="3"/>
      <c r="AH26" s="3"/>
    </row>
    <row r="27" spans="1:34" s="15" customFormat="1" x14ac:dyDescent="0.2">
      <c r="A27" s="3"/>
      <c r="B27" s="122"/>
      <c r="C27" s="97"/>
      <c r="D27" s="98"/>
      <c r="E27" s="114" t="s">
        <v>112</v>
      </c>
      <c r="F27" s="125" t="s">
        <v>153</v>
      </c>
      <c r="G27" s="5"/>
      <c r="H27" s="5"/>
      <c r="I27" s="5"/>
      <c r="J27" s="5"/>
      <c r="K27" s="5"/>
      <c r="L27" s="5"/>
      <c r="M27" s="5"/>
      <c r="N27" s="5"/>
      <c r="O27" s="5"/>
      <c r="P27" s="5"/>
      <c r="Q27" s="5"/>
      <c r="R27" s="5"/>
      <c r="S27" s="5"/>
      <c r="T27" s="5"/>
      <c r="U27" s="5"/>
      <c r="V27" s="5"/>
      <c r="W27" s="5"/>
      <c r="X27" s="5"/>
      <c r="Y27" s="5"/>
      <c r="Z27" s="5"/>
      <c r="AA27" s="8"/>
      <c r="AB27" s="3"/>
      <c r="AC27" s="6"/>
      <c r="AD27" s="3"/>
      <c r="AE27" s="3"/>
      <c r="AF27" s="3"/>
      <c r="AG27" s="3"/>
      <c r="AH27" s="3"/>
    </row>
    <row r="28" spans="1:34" s="15" customFormat="1" x14ac:dyDescent="0.2">
      <c r="A28" s="3"/>
      <c r="B28" s="122"/>
      <c r="C28" s="97"/>
      <c r="D28" s="99" t="s">
        <v>124</v>
      </c>
      <c r="E28" s="101">
        <f ca="1">E104</f>
        <v>52.256914732418238</v>
      </c>
      <c r="F28" s="108">
        <f ca="1">E94</f>
        <v>47.568206501243452</v>
      </c>
      <c r="G28" s="5"/>
      <c r="H28" s="5"/>
      <c r="I28" s="5"/>
      <c r="J28" s="5"/>
      <c r="K28" s="5"/>
      <c r="L28" s="5"/>
      <c r="M28" s="5"/>
      <c r="N28" s="5"/>
      <c r="O28" s="5"/>
      <c r="P28" s="5"/>
      <c r="Q28" s="5"/>
      <c r="R28" s="5"/>
      <c r="S28" s="5"/>
      <c r="T28" s="5"/>
      <c r="U28" s="5"/>
      <c r="V28" s="5"/>
      <c r="W28" s="5"/>
      <c r="X28" s="5"/>
      <c r="Y28" s="5"/>
      <c r="Z28" s="5"/>
      <c r="AA28" s="19" t="s">
        <v>185</v>
      </c>
      <c r="AB28" s="3"/>
      <c r="AC28" s="6"/>
      <c r="AD28" s="3"/>
      <c r="AE28" s="3"/>
      <c r="AF28" s="3"/>
      <c r="AG28" s="3"/>
      <c r="AH28" s="3"/>
    </row>
    <row r="29" spans="1:34" s="15" customFormat="1" x14ac:dyDescent="0.2">
      <c r="A29" s="3"/>
      <c r="B29" s="122"/>
      <c r="C29" s="97"/>
      <c r="D29" s="99" t="s">
        <v>118</v>
      </c>
      <c r="E29" s="101">
        <f ca="1">E106</f>
        <v>3.4290833920663308</v>
      </c>
      <c r="F29" s="108">
        <f ca="1">E96</f>
        <v>2.9480769755581218</v>
      </c>
      <c r="G29" s="5"/>
      <c r="H29" s="102"/>
      <c r="I29" s="102"/>
      <c r="J29" s="102"/>
      <c r="K29" s="5"/>
      <c r="L29" s="5"/>
      <c r="M29" s="5"/>
      <c r="N29" s="5"/>
      <c r="O29" s="5"/>
      <c r="P29" s="5"/>
      <c r="Q29" s="5"/>
      <c r="R29" s="5"/>
      <c r="S29" s="5"/>
      <c r="T29" s="5"/>
      <c r="U29" s="5"/>
      <c r="V29" s="5"/>
      <c r="W29" s="5"/>
      <c r="X29" s="5"/>
      <c r="Y29" s="5"/>
      <c r="Z29" s="5"/>
      <c r="AA29" s="19" t="s">
        <v>81</v>
      </c>
      <c r="AB29" s="3"/>
      <c r="AC29" s="6"/>
      <c r="AD29" s="3"/>
      <c r="AE29" s="3"/>
      <c r="AF29" s="3"/>
      <c r="AG29" s="3"/>
      <c r="AH29" s="3"/>
    </row>
    <row r="30" spans="1:34" s="15" customFormat="1" x14ac:dyDescent="0.2">
      <c r="A30" s="3"/>
      <c r="B30" s="122"/>
      <c r="C30" s="97"/>
      <c r="D30" s="99" t="s">
        <v>119</v>
      </c>
      <c r="E30" s="101">
        <f ca="1">E105-E104-E106</f>
        <v>20.442459241724549</v>
      </c>
      <c r="F30" s="108">
        <f ca="1">E95-E94-E96</f>
        <v>23.26781977382015</v>
      </c>
      <c r="G30" s="5"/>
      <c r="H30" s="5"/>
      <c r="I30" s="102"/>
      <c r="J30" s="102"/>
      <c r="K30" s="5"/>
      <c r="L30" s="5"/>
      <c r="M30" s="5"/>
      <c r="N30" s="5"/>
      <c r="O30" s="5"/>
      <c r="P30" s="5"/>
      <c r="Q30" s="5"/>
      <c r="R30" s="5"/>
      <c r="S30" s="5"/>
      <c r="T30" s="5"/>
      <c r="U30" s="5"/>
      <c r="V30" s="5"/>
      <c r="W30" s="5"/>
      <c r="X30" s="5"/>
      <c r="Y30" s="5"/>
      <c r="Z30" s="5"/>
      <c r="AA30" s="19" t="s">
        <v>82</v>
      </c>
      <c r="AB30" s="3"/>
      <c r="AC30" s="6"/>
      <c r="AD30" s="3"/>
      <c r="AE30" s="3"/>
      <c r="AF30" s="3"/>
      <c r="AG30" s="3"/>
      <c r="AH30" s="3"/>
    </row>
    <row r="31" spans="1:34" s="15" customFormat="1" x14ac:dyDescent="0.2">
      <c r="A31" s="3"/>
      <c r="B31" s="122"/>
      <c r="C31" s="97"/>
      <c r="D31" s="99" t="s">
        <v>120</v>
      </c>
      <c r="E31" s="108">
        <f ca="1">100-E28-E29-E30-E32-E33</f>
        <v>0</v>
      </c>
      <c r="F31" s="108">
        <f ca="1">100-F28-F29-F30-F32-F33</f>
        <v>0</v>
      </c>
      <c r="G31" s="5"/>
      <c r="H31" s="5"/>
      <c r="I31" s="102"/>
      <c r="J31" s="102"/>
      <c r="K31" s="5"/>
      <c r="L31" s="5"/>
      <c r="M31" s="5"/>
      <c r="N31" s="5"/>
      <c r="O31" s="5"/>
      <c r="P31" s="5"/>
      <c r="Q31" s="5"/>
      <c r="R31" s="5"/>
      <c r="S31" s="5"/>
      <c r="T31" s="5"/>
      <c r="U31" s="5"/>
      <c r="V31" s="5"/>
      <c r="W31" s="5"/>
      <c r="X31" s="5"/>
      <c r="Y31" s="5"/>
      <c r="Z31" s="5"/>
      <c r="AA31" s="8"/>
      <c r="AB31" s="3"/>
      <c r="AC31" s="6"/>
      <c r="AD31" s="3"/>
      <c r="AE31" s="3"/>
      <c r="AF31" s="3"/>
      <c r="AG31" s="3"/>
      <c r="AH31" s="3"/>
    </row>
    <row r="32" spans="1:34" s="15" customFormat="1" x14ac:dyDescent="0.2">
      <c r="A32" s="3"/>
      <c r="B32" s="122"/>
      <c r="C32" s="97"/>
      <c r="D32" s="99" t="s">
        <v>121</v>
      </c>
      <c r="E32" s="101">
        <f ca="1">E107-E104-E108</f>
        <v>20.442459241724549</v>
      </c>
      <c r="F32" s="108">
        <f ca="1">E97-E94-E98</f>
        <v>23.26781977382015</v>
      </c>
      <c r="G32" s="5"/>
      <c r="H32" s="5"/>
      <c r="I32" s="102"/>
      <c r="J32" s="102"/>
      <c r="K32" s="5"/>
      <c r="L32" s="5"/>
      <c r="M32" s="5"/>
      <c r="N32" s="5"/>
      <c r="O32" s="5"/>
      <c r="P32" s="5"/>
      <c r="Q32" s="5"/>
      <c r="R32" s="5"/>
      <c r="S32" s="5"/>
      <c r="T32" s="5"/>
      <c r="U32" s="5"/>
      <c r="V32" s="5"/>
      <c r="W32" s="5"/>
      <c r="X32" s="5"/>
      <c r="Y32" s="5"/>
      <c r="Z32" s="5"/>
      <c r="AA32" s="8"/>
      <c r="AB32" s="3" t="s">
        <v>27</v>
      </c>
      <c r="AC32" s="6"/>
      <c r="AD32" s="3"/>
      <c r="AE32" s="3"/>
      <c r="AF32" s="3"/>
      <c r="AG32" s="3"/>
      <c r="AH32" s="3"/>
    </row>
    <row r="33" spans="1:34" s="15" customFormat="1" x14ac:dyDescent="0.2">
      <c r="A33" s="3"/>
      <c r="B33" s="122"/>
      <c r="C33" s="97"/>
      <c r="D33" s="99" t="s">
        <v>122</v>
      </c>
      <c r="E33" s="101">
        <f ca="1">E108</f>
        <v>3.4290833920663308</v>
      </c>
      <c r="F33" s="108">
        <f ca="1">E98</f>
        <v>2.9480769755581218</v>
      </c>
      <c r="G33" s="5"/>
      <c r="H33" s="102"/>
      <c r="I33" s="102"/>
      <c r="J33" s="102"/>
      <c r="K33" s="5"/>
      <c r="L33" s="5"/>
      <c r="M33" s="5"/>
      <c r="N33" s="5"/>
      <c r="O33" s="5"/>
      <c r="P33" s="5"/>
      <c r="Q33" s="5"/>
      <c r="R33" s="5"/>
      <c r="S33" s="5"/>
      <c r="T33" s="5"/>
      <c r="U33" s="5"/>
      <c r="V33" s="5"/>
      <c r="W33" s="5"/>
      <c r="X33" s="5"/>
      <c r="Y33" s="5"/>
      <c r="Z33" s="5"/>
      <c r="AA33" s="8"/>
      <c r="AB33" s="3" t="s">
        <v>39</v>
      </c>
      <c r="AC33" s="6"/>
      <c r="AD33" s="3"/>
      <c r="AE33" s="3"/>
      <c r="AF33" s="3"/>
      <c r="AG33" s="3"/>
      <c r="AH33" s="3"/>
    </row>
    <row r="34" spans="1:34" s="15" customFormat="1" x14ac:dyDescent="0.2">
      <c r="A34" s="3"/>
      <c r="B34" s="126"/>
      <c r="C34" s="16"/>
      <c r="D34" s="127" t="s">
        <v>123</v>
      </c>
      <c r="E34" s="128">
        <f>_xlfn.T.INV(E4/100,D20)*SQRT(2)</f>
        <v>1.8776912403510377</v>
      </c>
      <c r="F34" s="129" t="s">
        <v>109</v>
      </c>
      <c r="G34" s="5"/>
      <c r="H34" s="5"/>
      <c r="I34" s="102"/>
      <c r="J34" s="102"/>
      <c r="K34" s="5"/>
      <c r="L34" s="5"/>
      <c r="M34" s="5"/>
      <c r="N34" s="5"/>
      <c r="O34" s="5"/>
      <c r="P34" s="5"/>
      <c r="Q34" s="5"/>
      <c r="R34" s="5"/>
      <c r="S34" s="5"/>
      <c r="T34" s="5"/>
      <c r="U34" s="5"/>
      <c r="V34" s="5"/>
      <c r="W34" s="5"/>
      <c r="X34" s="5"/>
      <c r="Y34" s="5"/>
      <c r="Z34" s="5"/>
      <c r="AA34" s="8"/>
      <c r="AB34" s="3" t="s">
        <v>38</v>
      </c>
      <c r="AC34" s="6"/>
      <c r="AD34" s="3"/>
      <c r="AE34" s="3"/>
      <c r="AF34" s="3"/>
      <c r="AG34" s="3"/>
      <c r="AH34" s="3"/>
    </row>
    <row r="35" spans="1:34" s="15" customFormat="1" x14ac:dyDescent="0.2">
      <c r="A35" s="3"/>
      <c r="B35" s="3"/>
      <c r="C35" s="8"/>
      <c r="D35" s="20" t="s">
        <v>84</v>
      </c>
      <c r="E35" s="12"/>
      <c r="F35" s="35" t="str">
        <f>IF(AND(OR(ISNUMBER($E$35),ISNUMBER($E$36)),ISBLANK($E$37)),"Insert a value for units of time","")</f>
        <v/>
      </c>
      <c r="G35" s="5"/>
      <c r="H35" s="5"/>
      <c r="I35" s="5"/>
      <c r="J35" s="5"/>
      <c r="K35" s="5"/>
      <c r="L35" s="5"/>
      <c r="M35" s="5"/>
      <c r="N35" s="5"/>
      <c r="O35" s="5"/>
      <c r="P35" s="5"/>
      <c r="Q35" s="5"/>
      <c r="R35" s="60"/>
      <c r="S35" s="5"/>
      <c r="T35" s="5"/>
      <c r="U35" s="5"/>
      <c r="V35" s="5"/>
      <c r="W35" s="5"/>
      <c r="X35" s="5"/>
      <c r="Y35" s="5"/>
      <c r="Z35" s="5"/>
      <c r="AA35" s="8"/>
      <c r="AB35" s="3" t="s">
        <v>37</v>
      </c>
      <c r="AC35" s="6"/>
      <c r="AD35" s="3"/>
      <c r="AE35" s="3"/>
      <c r="AF35" s="3"/>
      <c r="AG35" s="3"/>
      <c r="AH35" s="3"/>
    </row>
    <row r="36" spans="1:34" s="15" customFormat="1" x14ac:dyDescent="0.2">
      <c r="A36" s="3"/>
      <c r="B36" s="3"/>
      <c r="C36" s="8"/>
      <c r="D36" s="20" t="s">
        <v>85</v>
      </c>
      <c r="E36" s="12">
        <v>-5</v>
      </c>
      <c r="F36" s="36" t="str">
        <f>IF(AND(ISNUMBER(E35),ISNUMBER(E36)),"Error: insert either a raw or percent smallest trend, not both.","")</f>
        <v/>
      </c>
      <c r="G36" s="5"/>
      <c r="H36" s="5"/>
      <c r="I36" s="5"/>
      <c r="J36" s="5"/>
      <c r="K36" s="5"/>
      <c r="L36" s="5"/>
      <c r="M36" s="5"/>
      <c r="N36" s="5"/>
      <c r="O36" s="5"/>
      <c r="P36" s="5"/>
      <c r="Q36" s="5"/>
      <c r="R36" s="5"/>
      <c r="S36" s="5"/>
      <c r="T36" s="5"/>
      <c r="U36" s="5"/>
      <c r="V36" s="5"/>
      <c r="W36" s="5"/>
      <c r="X36" s="5"/>
      <c r="Y36" s="5"/>
      <c r="Z36" s="5"/>
      <c r="AA36" s="8"/>
      <c r="AB36" s="6" t="s">
        <v>51</v>
      </c>
      <c r="AC36" s="6"/>
      <c r="AD36" s="3"/>
      <c r="AE36" s="3"/>
      <c r="AF36" s="3"/>
      <c r="AG36" s="3"/>
      <c r="AH36" s="3"/>
    </row>
    <row r="37" spans="1:34" s="15" customFormat="1" x14ac:dyDescent="0.2">
      <c r="A37" s="3"/>
      <c r="B37" s="3"/>
      <c r="C37" s="32"/>
      <c r="D37" s="33" t="s">
        <v>28</v>
      </c>
      <c r="E37" s="28">
        <v>10</v>
      </c>
      <c r="F37" s="89" t="s">
        <v>29</v>
      </c>
      <c r="G37" s="5"/>
      <c r="H37" s="5"/>
      <c r="I37" s="5"/>
      <c r="J37" s="5"/>
      <c r="K37" s="5"/>
      <c r="L37" s="5"/>
      <c r="M37" s="5"/>
      <c r="N37" s="5"/>
      <c r="O37" s="5"/>
      <c r="P37" s="5"/>
      <c r="Q37" s="5"/>
      <c r="R37" s="5"/>
      <c r="S37" s="5"/>
      <c r="T37" s="5"/>
      <c r="U37" s="5"/>
      <c r="V37" s="5"/>
      <c r="W37" s="5"/>
      <c r="X37" s="5"/>
      <c r="Y37" s="5"/>
      <c r="Z37" s="5"/>
      <c r="AA37" s="8"/>
      <c r="AB37" s="3" t="s">
        <v>60</v>
      </c>
      <c r="AC37" s="6"/>
      <c r="AD37" s="3"/>
      <c r="AE37" s="3"/>
      <c r="AF37" s="3"/>
      <c r="AG37" s="3"/>
      <c r="AH37" s="3"/>
    </row>
    <row r="38" spans="1:34" s="15" customFormat="1" x14ac:dyDescent="0.2">
      <c r="A38" s="3"/>
      <c r="B38" s="3"/>
      <c r="C38" s="3"/>
      <c r="D38" s="3"/>
      <c r="E38" s="4"/>
      <c r="F38" s="37" t="str">
        <f ca="1">IF(OR(AND(ISBLANK(F39),ISNUMBER(F40)),AND(ISNUMBER(F39),ISBLANK(F40))),"*","")</f>
        <v/>
      </c>
      <c r="G38" s="38" t="str">
        <f t="shared" ref="G38:Z38" ca="1" si="0">IF(OR(AND(ISBLANK(G39),ISNUMBER(G40)),AND(ISNUMBER(G39),ISBLANK(G40))),"*","")</f>
        <v/>
      </c>
      <c r="H38" s="38" t="str">
        <f t="shared" ca="1" si="0"/>
        <v/>
      </c>
      <c r="I38" s="38" t="str">
        <f t="shared" ca="1" si="0"/>
        <v/>
      </c>
      <c r="J38" s="38" t="str">
        <f t="shared" ca="1" si="0"/>
        <v/>
      </c>
      <c r="K38" s="38" t="str">
        <f t="shared" ca="1" si="0"/>
        <v/>
      </c>
      <c r="L38" s="38" t="str">
        <f t="shared" ca="1" si="0"/>
        <v/>
      </c>
      <c r="M38" s="38" t="str">
        <f t="shared" ca="1" si="0"/>
        <v/>
      </c>
      <c r="N38" s="38" t="str">
        <f t="shared" ca="1" si="0"/>
        <v/>
      </c>
      <c r="O38" s="38" t="str">
        <f t="shared" ca="1" si="0"/>
        <v/>
      </c>
      <c r="P38" s="38" t="str">
        <f t="shared" ca="1" si="0"/>
        <v/>
      </c>
      <c r="Q38" s="38" t="str">
        <f t="shared" ca="1" si="0"/>
        <v/>
      </c>
      <c r="R38" s="38" t="str">
        <f t="shared" ca="1" si="0"/>
        <v/>
      </c>
      <c r="S38" s="38" t="str">
        <f t="shared" ca="1" si="0"/>
        <v/>
      </c>
      <c r="T38" s="38" t="str">
        <f t="shared" ca="1" si="0"/>
        <v/>
      </c>
      <c r="U38" s="38" t="str">
        <f t="shared" ca="1" si="0"/>
        <v/>
      </c>
      <c r="V38" s="38" t="str">
        <f t="shared" ca="1" si="0"/>
        <v/>
      </c>
      <c r="W38" s="38" t="str">
        <f ca="1">IF(OR(AND(ISBLANK(W39),ISNUMBER(W40)),AND(ISNUMBER(W39),ISBLANK(W40))),"*","")</f>
        <v/>
      </c>
      <c r="X38" s="38" t="str">
        <f ca="1">IF(OR(AND(ISBLANK(X39),ISNUMBER(X40)),AND(ISNUMBER(X39),ISBLANK(X40))),"*","")</f>
        <v/>
      </c>
      <c r="Y38" s="38" t="str">
        <f t="shared" ca="1" si="0"/>
        <v/>
      </c>
      <c r="Z38" s="38" t="str">
        <f t="shared" ca="1" si="0"/>
        <v/>
      </c>
      <c r="AA38" s="63" t="str">
        <f ca="1">IFERROR(IF(HLOOKUP("~*",F38:Z38,1,0)="*","Add or delete time or test score indicated by *.",""),"")</f>
        <v/>
      </c>
      <c r="AB38" s="6"/>
      <c r="AC38" s="6"/>
      <c r="AD38" s="3"/>
      <c r="AE38" s="3"/>
      <c r="AF38" s="3"/>
      <c r="AG38" s="3"/>
      <c r="AH38" s="3"/>
    </row>
    <row r="39" spans="1:34" s="15" customFormat="1" x14ac:dyDescent="0.2">
      <c r="A39" s="3"/>
      <c r="B39" s="3"/>
      <c r="C39" s="30"/>
      <c r="D39" s="24"/>
      <c r="E39" s="31" t="s">
        <v>0</v>
      </c>
      <c r="F39" s="90">
        <v>0.1</v>
      </c>
      <c r="G39" s="12">
        <v>1</v>
      </c>
      <c r="H39" s="12">
        <v>2</v>
      </c>
      <c r="I39" s="12">
        <v>3</v>
      </c>
      <c r="J39" s="12">
        <v>4</v>
      </c>
      <c r="K39" s="12">
        <v>5</v>
      </c>
      <c r="L39" s="12">
        <v>6</v>
      </c>
      <c r="M39" s="12">
        <v>7</v>
      </c>
      <c r="N39" s="12">
        <v>8</v>
      </c>
      <c r="O39" s="12">
        <v>9</v>
      </c>
      <c r="P39" s="12">
        <v>10</v>
      </c>
      <c r="Q39" s="12">
        <v>11</v>
      </c>
      <c r="R39" s="12">
        <v>12</v>
      </c>
      <c r="S39" s="12">
        <v>13</v>
      </c>
      <c r="T39" s="12">
        <v>14</v>
      </c>
      <c r="U39" s="12">
        <v>15</v>
      </c>
      <c r="V39" s="12">
        <v>16</v>
      </c>
      <c r="W39" s="12">
        <v>17</v>
      </c>
      <c r="X39" s="12">
        <v>18</v>
      </c>
      <c r="Y39" s="12">
        <v>19</v>
      </c>
      <c r="Z39" s="12">
        <v>20</v>
      </c>
      <c r="AA39" s="7"/>
      <c r="AB39" s="3"/>
      <c r="AC39" s="6"/>
      <c r="AD39" s="3"/>
      <c r="AE39" s="3"/>
      <c r="AF39" s="3"/>
      <c r="AG39" s="3"/>
      <c r="AH39" s="3"/>
    </row>
    <row r="40" spans="1:34" s="15" customFormat="1" x14ac:dyDescent="0.2">
      <c r="A40" s="3"/>
      <c r="B40" s="3"/>
      <c r="C40" s="8"/>
      <c r="D40" s="7"/>
      <c r="E40" s="20" t="s">
        <v>77</v>
      </c>
      <c r="F40" s="215">
        <f t="shared" ref="F40:Z40" ca="1" si="1">$E$9+NORMSINV(RAND())*($D$18*ISNUMBER($D$18)+$D$19*ISNUMBER($D$19)*$E$9/100)+F14+($E$10*ISNUMBER($E$10)+$E$11*ISNUMBER($E$11)*$E$9/100)/$E$12*(F39-$F$39)</f>
        <v>49.227062874345329</v>
      </c>
      <c r="G40" s="216">
        <f t="shared" ca="1" si="1"/>
        <v>49.272412402984322</v>
      </c>
      <c r="H40" s="216">
        <f t="shared" ca="1" si="1"/>
        <v>46.458485369048191</v>
      </c>
      <c r="I40" s="216">
        <f t="shared" ca="1" si="1"/>
        <v>48.062795746268662</v>
      </c>
      <c r="J40" s="216">
        <f t="shared" ca="1" si="1"/>
        <v>50.008885957643578</v>
      </c>
      <c r="K40" s="216">
        <f t="shared" ca="1" si="1"/>
        <v>48.376140047936438</v>
      </c>
      <c r="L40" s="216">
        <f t="shared" ca="1" si="1"/>
        <v>48.562111904460011</v>
      </c>
      <c r="M40" s="216">
        <f t="shared" ca="1" si="1"/>
        <v>46.468593225676877</v>
      </c>
      <c r="N40" s="216">
        <f t="shared" ca="1" si="1"/>
        <v>47.104544606880125</v>
      </c>
      <c r="O40" s="216">
        <f t="shared" ca="1" si="1"/>
        <v>42.738501943877203</v>
      </c>
      <c r="P40" s="216">
        <f t="shared" ca="1" si="1"/>
        <v>42.076258618246371</v>
      </c>
      <c r="Q40" s="216">
        <f t="shared" ca="1" si="1"/>
        <v>46.009799423590337</v>
      </c>
      <c r="R40" s="216">
        <f t="shared" ca="1" si="1"/>
        <v>48.817126856238779</v>
      </c>
      <c r="S40" s="216">
        <f t="shared" ca="1" si="1"/>
        <v>47.103440071557344</v>
      </c>
      <c r="T40" s="216">
        <f t="shared" ca="1" si="1"/>
        <v>43.893024159508691</v>
      </c>
      <c r="U40" s="216">
        <f t="shared" ca="1" si="1"/>
        <v>44.656796299857966</v>
      </c>
      <c r="V40" s="216">
        <f t="shared" ca="1" si="1"/>
        <v>41.42829747370056</v>
      </c>
      <c r="W40" s="216">
        <f t="shared" ca="1" si="1"/>
        <v>41.158538016136006</v>
      </c>
      <c r="X40" s="216">
        <f t="shared" ca="1" si="1"/>
        <v>39.542859107204777</v>
      </c>
      <c r="Y40" s="216">
        <f t="shared" ca="1" si="1"/>
        <v>40.853615472203032</v>
      </c>
      <c r="Z40" s="216">
        <f t="shared" ca="1" si="1"/>
        <v>37.401672805615661</v>
      </c>
      <c r="AA40" s="7"/>
      <c r="AB40" s="3"/>
      <c r="AC40" s="6"/>
      <c r="AD40" s="3"/>
      <c r="AE40" s="3"/>
      <c r="AF40" s="3"/>
      <c r="AG40" s="3"/>
      <c r="AH40" s="3"/>
    </row>
    <row r="41" spans="1:34" s="15" customFormat="1" ht="15.75" thickBot="1" x14ac:dyDescent="0.25">
      <c r="A41" s="3"/>
      <c r="B41" s="3"/>
      <c r="C41" s="32"/>
      <c r="D41" s="25"/>
      <c r="E41" s="33" t="s">
        <v>78</v>
      </c>
      <c r="F41" s="91">
        <v>1</v>
      </c>
      <c r="G41" s="86">
        <v>1</v>
      </c>
      <c r="H41" s="86">
        <v>1</v>
      </c>
      <c r="I41" s="86">
        <v>1</v>
      </c>
      <c r="J41" s="86">
        <v>1</v>
      </c>
      <c r="K41" s="86">
        <v>1</v>
      </c>
      <c r="L41" s="86">
        <v>1</v>
      </c>
      <c r="M41" s="86">
        <v>1</v>
      </c>
      <c r="N41" s="86">
        <v>1</v>
      </c>
      <c r="O41" s="86">
        <v>1</v>
      </c>
      <c r="P41" s="86">
        <v>1</v>
      </c>
      <c r="Q41" s="86"/>
      <c r="R41" s="86"/>
      <c r="S41" s="86"/>
      <c r="T41" s="86"/>
      <c r="U41" s="86"/>
      <c r="V41" s="86"/>
      <c r="W41" s="86"/>
      <c r="X41" s="86"/>
      <c r="Y41" s="86"/>
      <c r="Z41" s="86"/>
      <c r="AA41" s="7"/>
      <c r="AB41" s="3"/>
      <c r="AC41" s="6"/>
      <c r="AD41" s="3"/>
      <c r="AE41" s="3"/>
      <c r="AF41" s="3"/>
      <c r="AG41" s="3"/>
      <c r="AH41" s="3"/>
    </row>
    <row r="42" spans="1:34" s="15" customFormat="1" ht="14.1" customHeight="1" x14ac:dyDescent="0.2">
      <c r="A42" s="3"/>
      <c r="B42" s="3"/>
      <c r="C42" s="269" t="s">
        <v>26</v>
      </c>
      <c r="D42" s="7"/>
      <c r="E42" s="27" t="s">
        <v>22</v>
      </c>
      <c r="F42" s="13" t="str">
        <f t="shared" ref="F42:Z42" ca="1" si="2">IF(AND(ISNUMBER(F40),F41=0),100*_xlfn.T.DIST((F40-F64-($E$21*ISNUMBER($E$21)+$E$22*ISNUMBER($E$22)*F64/100))/F68,F69,1),"")</f>
        <v/>
      </c>
      <c r="G42" s="13" t="str">
        <f t="shared" ca="1" si="2"/>
        <v/>
      </c>
      <c r="H42" s="13" t="str">
        <f t="shared" ca="1" si="2"/>
        <v/>
      </c>
      <c r="I42" s="13" t="str">
        <f t="shared" ca="1" si="2"/>
        <v/>
      </c>
      <c r="J42" s="13" t="str">
        <f t="shared" ca="1" si="2"/>
        <v/>
      </c>
      <c r="K42" s="13" t="str">
        <f t="shared" ca="1" si="2"/>
        <v/>
      </c>
      <c r="L42" s="13" t="str">
        <f t="shared" ca="1" si="2"/>
        <v/>
      </c>
      <c r="M42" s="13" t="str">
        <f t="shared" ca="1" si="2"/>
        <v/>
      </c>
      <c r="N42" s="13" t="str">
        <f t="shared" ca="1" si="2"/>
        <v/>
      </c>
      <c r="O42" s="13" t="str">
        <f t="shared" ca="1" si="2"/>
        <v/>
      </c>
      <c r="P42" s="13" t="str">
        <f t="shared" ca="1" si="2"/>
        <v/>
      </c>
      <c r="Q42" s="13">
        <f ca="1">IF(AND(ISNUMBER(Q40),Q41=0),100*_xlfn.T.DIST((Q40-Q64-($E$21*ISNUMBER($E$21)+$E$22*ISNUMBER($E$22)*Q64/100))/Q68,Q69,1),"")</f>
        <v>77.298142494045962</v>
      </c>
      <c r="R42" s="13">
        <f t="shared" ca="1" si="2"/>
        <v>99.132885630775078</v>
      </c>
      <c r="S42" s="13">
        <f t="shared" ca="1" si="2"/>
        <v>96.145055266880036</v>
      </c>
      <c r="T42" s="13">
        <f t="shared" ca="1" si="2"/>
        <v>68.819386747747487</v>
      </c>
      <c r="U42" s="13">
        <f t="shared" ca="1" si="2"/>
        <v>85.545931353848175</v>
      </c>
      <c r="V42" s="13">
        <f t="shared" ca="1" si="2"/>
        <v>46.290744776394284</v>
      </c>
      <c r="W42" s="13">
        <f t="shared" ca="1" si="2"/>
        <v>51.839765335781131</v>
      </c>
      <c r="X42" s="13">
        <f t="shared" ca="1" si="2"/>
        <v>36.81509196252604</v>
      </c>
      <c r="Y42" s="13">
        <f t="shared" ca="1" si="2"/>
        <v>64.210866476827817</v>
      </c>
      <c r="Z42" s="13">
        <f t="shared" ca="1" si="2"/>
        <v>26.984638532634353</v>
      </c>
      <c r="AA42" s="7"/>
      <c r="AB42" s="3"/>
      <c r="AC42" s="6"/>
      <c r="AD42" s="3"/>
      <c r="AE42" s="3"/>
      <c r="AF42" s="3"/>
      <c r="AG42" s="3"/>
      <c r="AH42" s="3"/>
    </row>
    <row r="43" spans="1:34" s="15" customFormat="1" x14ac:dyDescent="0.2">
      <c r="A43" s="3"/>
      <c r="B43" s="3"/>
      <c r="C43" s="269"/>
      <c r="D43" s="7"/>
      <c r="E43" s="27" t="s">
        <v>23</v>
      </c>
      <c r="F43" s="13" t="str">
        <f ca="1">IF(AND(ISNUMBER(F40),F41=0),100-F42-F44,"")</f>
        <v/>
      </c>
      <c r="G43" s="13" t="str">
        <f t="shared" ref="G43:Z43" ca="1" si="3">IF(AND(ISNUMBER(G40),G41=0),100-G42-G44,"")</f>
        <v/>
      </c>
      <c r="H43" s="13" t="str">
        <f t="shared" ca="1" si="3"/>
        <v/>
      </c>
      <c r="I43" s="13" t="str">
        <f t="shared" ca="1" si="3"/>
        <v/>
      </c>
      <c r="J43" s="13" t="str">
        <f t="shared" ca="1" si="3"/>
        <v/>
      </c>
      <c r="K43" s="13" t="str">
        <f t="shared" ca="1" si="3"/>
        <v/>
      </c>
      <c r="L43" s="13" t="str">
        <f t="shared" ca="1" si="3"/>
        <v/>
      </c>
      <c r="M43" s="13" t="str">
        <f t="shared" ca="1" si="3"/>
        <v/>
      </c>
      <c r="N43" s="13" t="str">
        <f t="shared" ca="1" si="3"/>
        <v/>
      </c>
      <c r="O43" s="13" t="str">
        <f t="shared" ca="1" si="3"/>
        <v/>
      </c>
      <c r="P43" s="13" t="str">
        <f t="shared" ca="1" si="3"/>
        <v/>
      </c>
      <c r="Q43" s="13">
        <f t="shared" ca="1" si="3"/>
        <v>19.904978747020539</v>
      </c>
      <c r="R43" s="13">
        <f t="shared" ca="1" si="3"/>
        <v>0.8116146607332233</v>
      </c>
      <c r="S43" s="13">
        <f t="shared" ca="1" si="3"/>
        <v>3.4656893050349376</v>
      </c>
      <c r="T43" s="13">
        <f t="shared" ca="1" si="3"/>
        <v>23.772814984115698</v>
      </c>
      <c r="U43" s="13">
        <f t="shared" ca="1" si="3"/>
        <v>11.554747896623947</v>
      </c>
      <c r="V43" s="13">
        <f t="shared" ca="1" si="3"/>
        <v>31.340600374993347</v>
      </c>
      <c r="W43" s="13">
        <f t="shared" ca="1" si="3"/>
        <v>27.960823642597433</v>
      </c>
      <c r="X43" s="13">
        <f t="shared" ca="1" si="3"/>
        <v>28.919082455072875</v>
      </c>
      <c r="Y43" s="13">
        <f t="shared" ca="1" si="3"/>
        <v>20.803787910891121</v>
      </c>
      <c r="Z43" s="13">
        <f t="shared" ca="1" si="3"/>
        <v>24.206878090650299</v>
      </c>
      <c r="AA43" s="7"/>
      <c r="AB43" s="3"/>
      <c r="AC43" s="6"/>
      <c r="AD43" s="3"/>
      <c r="AE43" s="3"/>
      <c r="AF43" s="3"/>
      <c r="AG43" s="3"/>
      <c r="AH43" s="3"/>
    </row>
    <row r="44" spans="1:34" s="15" customFormat="1" x14ac:dyDescent="0.2">
      <c r="A44" s="3"/>
      <c r="B44" s="3"/>
      <c r="C44" s="269"/>
      <c r="D44" s="7"/>
      <c r="E44" s="27" t="s">
        <v>24</v>
      </c>
      <c r="F44" s="29" t="str">
        <f t="shared" ref="F44:Z44" ca="1" si="4">IF(AND(ISNUMBER(F40),F41=0),100*_xlfn.T.DIST((F64-F40-($E$21*ISNUMBER($E$21)+$E$22*ISNUMBER($E$22)*F64/100))/F68,F69,1),"")</f>
        <v/>
      </c>
      <c r="G44" s="29" t="str">
        <f t="shared" ca="1" si="4"/>
        <v/>
      </c>
      <c r="H44" s="29" t="str">
        <f t="shared" ca="1" si="4"/>
        <v/>
      </c>
      <c r="I44" s="29" t="str">
        <f t="shared" ca="1" si="4"/>
        <v/>
      </c>
      <c r="J44" s="29" t="str">
        <f t="shared" ca="1" si="4"/>
        <v/>
      </c>
      <c r="K44" s="29" t="str">
        <f t="shared" ca="1" si="4"/>
        <v/>
      </c>
      <c r="L44" s="29" t="str">
        <f t="shared" ca="1" si="4"/>
        <v/>
      </c>
      <c r="M44" s="29" t="str">
        <f t="shared" ca="1" si="4"/>
        <v/>
      </c>
      <c r="N44" s="29" t="str">
        <f t="shared" ca="1" si="4"/>
        <v/>
      </c>
      <c r="O44" s="29" t="str">
        <f t="shared" ca="1" si="4"/>
        <v/>
      </c>
      <c r="P44" s="29" t="str">
        <f t="shared" ca="1" si="4"/>
        <v/>
      </c>
      <c r="Q44" s="29">
        <f t="shared" ca="1" si="4"/>
        <v>2.7968787589334987</v>
      </c>
      <c r="R44" s="29">
        <f t="shared" ca="1" si="4"/>
        <v>5.5499708491698413E-2</v>
      </c>
      <c r="S44" s="29">
        <f t="shared" ca="1" si="4"/>
        <v>0.38925542808502689</v>
      </c>
      <c r="T44" s="29">
        <f t="shared" ca="1" si="4"/>
        <v>7.4077982681368155</v>
      </c>
      <c r="U44" s="29">
        <f t="shared" ca="1" si="4"/>
        <v>2.8993207495278774</v>
      </c>
      <c r="V44" s="29">
        <f t="shared" ca="1" si="4"/>
        <v>22.368654848612369</v>
      </c>
      <c r="W44" s="29">
        <f t="shared" ca="1" si="4"/>
        <v>20.199411021621437</v>
      </c>
      <c r="X44" s="29">
        <f t="shared" ca="1" si="4"/>
        <v>34.265825582401085</v>
      </c>
      <c r="Y44" s="29">
        <f t="shared" ca="1" si="4"/>
        <v>14.985345612281062</v>
      </c>
      <c r="Z44" s="29">
        <f t="shared" ca="1" si="4"/>
        <v>48.808483376715351</v>
      </c>
      <c r="AA44" s="7"/>
      <c r="AB44" s="3"/>
      <c r="AC44" s="6"/>
      <c r="AD44" s="3"/>
      <c r="AE44" s="3"/>
      <c r="AF44" s="3"/>
      <c r="AG44" s="3"/>
      <c r="AH44" s="3"/>
    </row>
    <row r="45" spans="1:34" s="15" customFormat="1" ht="15.75" thickBot="1" x14ac:dyDescent="0.25">
      <c r="A45" s="3"/>
      <c r="B45" s="3"/>
      <c r="C45" s="270"/>
      <c r="D45" s="80"/>
      <c r="E45" s="120" t="s">
        <v>8</v>
      </c>
      <c r="F45" s="81" t="str">
        <f ca="1">IF(ISNUMBER(F42),IF(AND(F42&gt;$E$6,F44&gt;$E$6),"?",(IF(F42&gt;$E$6,"­"&amp;IF(F42&gt;100-$E$6,"*",""),""))&amp;(IF(F43&gt;$E$6,"«"&amp;IF(F43&gt;100-$E$6,"*",""),""))&amp;(IF(F44&gt;$E$6,"¯"&amp;IF(F44&gt;100-$E$6,"*",""),""))),"")</f>
        <v/>
      </c>
      <c r="G45" s="81" t="str">
        <f t="shared" ref="G45:Z45" ca="1" si="5">IF(ISNUMBER(G42),IF(AND(G42&gt;$E$6,G44&gt;$E$6),"?",(IF(G42&gt;$E$6,"­"&amp;IF(G42&gt;100-$E$6,"*",""),""))&amp;(IF(G43&gt;$E$6,"«"&amp;IF(G43&gt;100-$E$6,"*",""),""))&amp;(IF(G44&gt;$E$6,"¯"&amp;IF(G44&gt;100-$E$6,"*",""),""))),"")</f>
        <v/>
      </c>
      <c r="H45" s="81" t="str">
        <f t="shared" ca="1" si="5"/>
        <v/>
      </c>
      <c r="I45" s="81" t="str">
        <f t="shared" ca="1" si="5"/>
        <v/>
      </c>
      <c r="J45" s="81" t="str">
        <f t="shared" ca="1" si="5"/>
        <v/>
      </c>
      <c r="K45" s="81" t="str">
        <f t="shared" ca="1" si="5"/>
        <v/>
      </c>
      <c r="L45" s="81" t="str">
        <f t="shared" ca="1" si="5"/>
        <v/>
      </c>
      <c r="M45" s="81" t="str">
        <f t="shared" ca="1" si="5"/>
        <v/>
      </c>
      <c r="N45" s="81" t="str">
        <f t="shared" ca="1" si="5"/>
        <v/>
      </c>
      <c r="O45" s="81" t="str">
        <f t="shared" ca="1" si="5"/>
        <v/>
      </c>
      <c r="P45" s="81" t="str">
        <f t="shared" ca="1" si="5"/>
        <v/>
      </c>
      <c r="Q45" s="81" t="str">
        <f t="shared" ca="1" si="5"/>
        <v>­«</v>
      </c>
      <c r="R45" s="81" t="str">
        <f t="shared" ca="1" si="5"/>
        <v>­*</v>
      </c>
      <c r="S45" s="81" t="str">
        <f t="shared" ca="1" si="5"/>
        <v>­*</v>
      </c>
      <c r="T45" s="81" t="str">
        <f t="shared" ca="1" si="5"/>
        <v>­«</v>
      </c>
      <c r="U45" s="81" t="str">
        <f t="shared" ca="1" si="5"/>
        <v>­«</v>
      </c>
      <c r="V45" s="81" t="str">
        <f t="shared" ca="1" si="5"/>
        <v>?</v>
      </c>
      <c r="W45" s="81" t="str">
        <f t="shared" ca="1" si="5"/>
        <v>?</v>
      </c>
      <c r="X45" s="81" t="str">
        <f t="shared" ca="1" si="5"/>
        <v>?</v>
      </c>
      <c r="Y45" s="81" t="str">
        <f t="shared" ca="1" si="5"/>
        <v>?</v>
      </c>
      <c r="Z45" s="81" t="str">
        <f t="shared" ca="1" si="5"/>
        <v>?</v>
      </c>
      <c r="AA45" s="7"/>
      <c r="AB45" s="3"/>
      <c r="AC45" s="6"/>
      <c r="AD45" s="3"/>
      <c r="AE45" s="3"/>
      <c r="AF45" s="3"/>
      <c r="AG45" s="3"/>
      <c r="AH45" s="3"/>
    </row>
    <row r="46" spans="1:34" s="15" customFormat="1" x14ac:dyDescent="0.2">
      <c r="A46" s="3"/>
      <c r="B46" s="3"/>
      <c r="C46" s="77"/>
      <c r="D46" s="78"/>
      <c r="E46" s="82" t="s">
        <v>57</v>
      </c>
      <c r="F46" s="83"/>
      <c r="G46" s="84"/>
      <c r="H46" s="84"/>
      <c r="I46" s="84"/>
      <c r="J46" s="84"/>
      <c r="K46" s="84"/>
      <c r="L46" s="84"/>
      <c r="M46" s="84"/>
      <c r="N46" s="84"/>
      <c r="O46" s="84"/>
      <c r="P46" s="84"/>
      <c r="Q46" s="84"/>
      <c r="R46" s="84">
        <v>1</v>
      </c>
      <c r="S46" s="84">
        <v>1</v>
      </c>
      <c r="T46" s="84">
        <v>1</v>
      </c>
      <c r="U46" s="84">
        <v>1</v>
      </c>
      <c r="V46" s="84"/>
      <c r="W46" s="84"/>
      <c r="X46" s="84"/>
      <c r="Y46" s="84"/>
      <c r="Z46" s="84"/>
      <c r="AA46" s="7"/>
      <c r="AB46" s="3"/>
      <c r="AC46" s="6"/>
      <c r="AD46" s="3"/>
      <c r="AE46" s="3"/>
      <c r="AF46" s="3"/>
      <c r="AG46" s="3"/>
      <c r="AH46" s="3"/>
    </row>
    <row r="47" spans="1:34" s="15" customFormat="1" ht="14.1" customHeight="1" x14ac:dyDescent="0.2">
      <c r="A47" s="3"/>
      <c r="B47" s="3"/>
      <c r="C47" s="271" t="s">
        <v>58</v>
      </c>
      <c r="D47" s="24"/>
      <c r="E47" s="26" t="s">
        <v>22</v>
      </c>
      <c r="F47" s="79" t="str">
        <f t="shared" ref="F47:Z47" si="6">IF(F$82=1,100*_xlfn.T.DIST(($E$83-$E$84-($E$21*ISNUMBER($E$21)+$E$22*ISNUMBER($E$22)*$E$84/100))/$E$86,$E$87,1),"")</f>
        <v/>
      </c>
      <c r="G47" s="79" t="str">
        <f t="shared" si="6"/>
        <v/>
      </c>
      <c r="H47" s="79" t="str">
        <f t="shared" si="6"/>
        <v/>
      </c>
      <c r="I47" s="79" t="str">
        <f t="shared" si="6"/>
        <v/>
      </c>
      <c r="J47" s="79" t="str">
        <f t="shared" si="6"/>
        <v/>
      </c>
      <c r="K47" s="79" t="str">
        <f t="shared" si="6"/>
        <v/>
      </c>
      <c r="L47" s="79" t="str">
        <f t="shared" si="6"/>
        <v/>
      </c>
      <c r="M47" s="79" t="str">
        <f t="shared" si="6"/>
        <v/>
      </c>
      <c r="N47" s="79" t="str">
        <f t="shared" si="6"/>
        <v/>
      </c>
      <c r="O47" s="79" t="str">
        <f t="shared" si="6"/>
        <v/>
      </c>
      <c r="P47" s="79" t="str">
        <f t="shared" si="6"/>
        <v/>
      </c>
      <c r="Q47" s="79" t="str">
        <f t="shared" si="6"/>
        <v/>
      </c>
      <c r="R47" s="79">
        <f t="shared" ca="1" si="6"/>
        <v>95.106985279836167</v>
      </c>
      <c r="S47" s="79">
        <f t="shared" ca="1" si="6"/>
        <v>95.106985279836167</v>
      </c>
      <c r="T47" s="79">
        <f t="shared" ca="1" si="6"/>
        <v>95.106985279836167</v>
      </c>
      <c r="U47" s="79">
        <f t="shared" ca="1" si="6"/>
        <v>95.106985279836167</v>
      </c>
      <c r="V47" s="79" t="str">
        <f t="shared" si="6"/>
        <v/>
      </c>
      <c r="W47" s="79" t="str">
        <f t="shared" si="6"/>
        <v/>
      </c>
      <c r="X47" s="79" t="str">
        <f t="shared" si="6"/>
        <v/>
      </c>
      <c r="Y47" s="79" t="str">
        <f t="shared" si="6"/>
        <v/>
      </c>
      <c r="Z47" s="79" t="str">
        <f t="shared" si="6"/>
        <v/>
      </c>
      <c r="AA47" s="7"/>
      <c r="AB47" s="3"/>
      <c r="AC47" s="6"/>
      <c r="AD47" s="3"/>
      <c r="AE47" s="3"/>
      <c r="AF47" s="3"/>
      <c r="AG47" s="3"/>
      <c r="AH47" s="3"/>
    </row>
    <row r="48" spans="1:34" s="15" customFormat="1" x14ac:dyDescent="0.2">
      <c r="A48" s="3"/>
      <c r="B48" s="3"/>
      <c r="C48" s="269"/>
      <c r="D48" s="7"/>
      <c r="E48" s="27" t="s">
        <v>23</v>
      </c>
      <c r="F48" s="13" t="str">
        <f t="shared" ref="F48:Z48" si="7">IF(F82=1,100-F47-F49,"")</f>
        <v/>
      </c>
      <c r="G48" s="13" t="str">
        <f t="shared" si="7"/>
        <v/>
      </c>
      <c r="H48" s="13" t="str">
        <f t="shared" si="7"/>
        <v/>
      </c>
      <c r="I48" s="13" t="str">
        <f t="shared" si="7"/>
        <v/>
      </c>
      <c r="J48" s="13" t="str">
        <f t="shared" si="7"/>
        <v/>
      </c>
      <c r="K48" s="13" t="str">
        <f t="shared" si="7"/>
        <v/>
      </c>
      <c r="L48" s="13" t="str">
        <f t="shared" si="7"/>
        <v/>
      </c>
      <c r="M48" s="13" t="str">
        <f t="shared" si="7"/>
        <v/>
      </c>
      <c r="N48" s="13" t="str">
        <f t="shared" si="7"/>
        <v/>
      </c>
      <c r="O48" s="13" t="str">
        <f t="shared" si="7"/>
        <v/>
      </c>
      <c r="P48" s="13" t="str">
        <f t="shared" si="7"/>
        <v/>
      </c>
      <c r="Q48" s="13" t="str">
        <f t="shared" si="7"/>
        <v/>
      </c>
      <c r="R48" s="13">
        <f t="shared" ca="1" si="7"/>
        <v>4.5173213502510237</v>
      </c>
      <c r="S48" s="13">
        <f t="shared" ca="1" si="7"/>
        <v>4.5173213502510237</v>
      </c>
      <c r="T48" s="13">
        <f t="shared" ca="1" si="7"/>
        <v>4.5173213502510237</v>
      </c>
      <c r="U48" s="13">
        <f t="shared" ca="1" si="7"/>
        <v>4.5173213502510237</v>
      </c>
      <c r="V48" s="13" t="str">
        <f t="shared" si="7"/>
        <v/>
      </c>
      <c r="W48" s="13" t="str">
        <f t="shared" si="7"/>
        <v/>
      </c>
      <c r="X48" s="13" t="str">
        <f t="shared" si="7"/>
        <v/>
      </c>
      <c r="Y48" s="13" t="str">
        <f t="shared" si="7"/>
        <v/>
      </c>
      <c r="Z48" s="13" t="str">
        <f t="shared" si="7"/>
        <v/>
      </c>
      <c r="AA48" s="7"/>
      <c r="AB48" s="3"/>
      <c r="AC48" s="6"/>
      <c r="AD48" s="3"/>
      <c r="AE48" s="3"/>
      <c r="AF48" s="3"/>
      <c r="AG48" s="3"/>
      <c r="AH48" s="3"/>
    </row>
    <row r="49" spans="1:34" s="15" customFormat="1" x14ac:dyDescent="0.2">
      <c r="A49" s="3"/>
      <c r="B49" s="3"/>
      <c r="C49" s="269"/>
      <c r="D49" s="7"/>
      <c r="E49" s="27" t="s">
        <v>24</v>
      </c>
      <c r="F49" s="29" t="str">
        <f t="shared" ref="F49:Z49" si="8">IF(F$82=1,100*_xlfn.T.DIST(($E$84-$E$83-($E$21*ISNUMBER($E$21)+$E$22*ISNUMBER($E$22)*$E$84/100))/$E$86,$E$87,1),"")</f>
        <v/>
      </c>
      <c r="G49" s="29" t="str">
        <f t="shared" si="8"/>
        <v/>
      </c>
      <c r="H49" s="29" t="str">
        <f t="shared" si="8"/>
        <v/>
      </c>
      <c r="I49" s="29" t="str">
        <f t="shared" si="8"/>
        <v/>
      </c>
      <c r="J49" s="29" t="str">
        <f t="shared" si="8"/>
        <v/>
      </c>
      <c r="K49" s="29" t="str">
        <f t="shared" si="8"/>
        <v/>
      </c>
      <c r="L49" s="29" t="str">
        <f t="shared" si="8"/>
        <v/>
      </c>
      <c r="M49" s="29" t="str">
        <f t="shared" si="8"/>
        <v/>
      </c>
      <c r="N49" s="29" t="str">
        <f t="shared" si="8"/>
        <v/>
      </c>
      <c r="O49" s="29" t="str">
        <f t="shared" si="8"/>
        <v/>
      </c>
      <c r="P49" s="29" t="str">
        <f t="shared" si="8"/>
        <v/>
      </c>
      <c r="Q49" s="29" t="str">
        <f t="shared" si="8"/>
        <v/>
      </c>
      <c r="R49" s="29">
        <f t="shared" ca="1" si="8"/>
        <v>0.37569336991280983</v>
      </c>
      <c r="S49" s="29">
        <f t="shared" ca="1" si="8"/>
        <v>0.37569336991280983</v>
      </c>
      <c r="T49" s="29">
        <f t="shared" ca="1" si="8"/>
        <v>0.37569336991280983</v>
      </c>
      <c r="U49" s="29">
        <f t="shared" ca="1" si="8"/>
        <v>0.37569336991280983</v>
      </c>
      <c r="V49" s="29" t="str">
        <f t="shared" si="8"/>
        <v/>
      </c>
      <c r="W49" s="29" t="str">
        <f t="shared" si="8"/>
        <v/>
      </c>
      <c r="X49" s="29" t="str">
        <f t="shared" si="8"/>
        <v/>
      </c>
      <c r="Y49" s="29" t="str">
        <f t="shared" si="8"/>
        <v/>
      </c>
      <c r="Z49" s="29" t="str">
        <f t="shared" si="8"/>
        <v/>
      </c>
      <c r="AA49" s="7"/>
      <c r="AB49" s="3"/>
      <c r="AC49" s="6"/>
      <c r="AD49" s="3"/>
      <c r="AE49" s="3"/>
      <c r="AF49" s="3"/>
      <c r="AG49" s="3"/>
      <c r="AH49" s="3"/>
    </row>
    <row r="50" spans="1:34" s="15" customFormat="1" ht="15.75" thickBot="1" x14ac:dyDescent="0.25">
      <c r="A50" s="3"/>
      <c r="B50" s="3"/>
      <c r="C50" s="270"/>
      <c r="D50" s="80"/>
      <c r="E50" s="120" t="s">
        <v>8</v>
      </c>
      <c r="F50" s="81" t="str">
        <f>IF(ISNUMBER(F47),IF(AND(F47&gt;$E$6,F49&gt;$E$6),"?",(IF(F47&gt;$E$6,"­"&amp;IF(F47&gt;100-$E$6,"*",""),""))&amp;(IF(F48&gt;$E$6,"«"&amp;IF(F48&gt;100-$E$6,"*",""),""))&amp;(IF(F49&gt;$E$6,"¯"&amp;IF(F49&gt;100-$E$6,"*",""),""))),"")</f>
        <v/>
      </c>
      <c r="G50" s="81" t="str">
        <f t="shared" ref="G50:Z50" si="9">IF(ISNUMBER(G47),IF(AND(G47&gt;$E$6,G49&gt;$E$6),"?",(IF(G47&gt;$E$6,"­"&amp;IF(G47&gt;100-$E$6,"*",""),""))&amp;(IF(G48&gt;$E$6,"«"&amp;IF(G48&gt;100-$E$6,"*",""),""))&amp;(IF(G49&gt;$E$6,"¯"&amp;IF(G49&gt;100-$E$6,"*",""),""))),"")</f>
        <v/>
      </c>
      <c r="H50" s="81" t="str">
        <f t="shared" si="9"/>
        <v/>
      </c>
      <c r="I50" s="81" t="str">
        <f t="shared" si="9"/>
        <v/>
      </c>
      <c r="J50" s="81" t="str">
        <f t="shared" si="9"/>
        <v/>
      </c>
      <c r="K50" s="81" t="str">
        <f t="shared" si="9"/>
        <v/>
      </c>
      <c r="L50" s="81" t="str">
        <f t="shared" si="9"/>
        <v/>
      </c>
      <c r="M50" s="81" t="str">
        <f t="shared" si="9"/>
        <v/>
      </c>
      <c r="N50" s="81" t="str">
        <f t="shared" si="9"/>
        <v/>
      </c>
      <c r="O50" s="81" t="str">
        <f t="shared" si="9"/>
        <v/>
      </c>
      <c r="P50" s="81" t="str">
        <f t="shared" si="9"/>
        <v/>
      </c>
      <c r="Q50" s="81" t="str">
        <f t="shared" si="9"/>
        <v/>
      </c>
      <c r="R50" s="81" t="str">
        <f t="shared" ca="1" si="9"/>
        <v>­*</v>
      </c>
      <c r="S50" s="81" t="str">
        <f t="shared" ca="1" si="9"/>
        <v>­*</v>
      </c>
      <c r="T50" s="81" t="str">
        <f t="shared" ca="1" si="9"/>
        <v>­*</v>
      </c>
      <c r="U50" s="81" t="str">
        <f t="shared" ca="1" si="9"/>
        <v>­*</v>
      </c>
      <c r="V50" s="81" t="str">
        <f t="shared" si="9"/>
        <v/>
      </c>
      <c r="W50" s="81" t="str">
        <f t="shared" si="9"/>
        <v/>
      </c>
      <c r="X50" s="81" t="str">
        <f t="shared" si="9"/>
        <v/>
      </c>
      <c r="Y50" s="81" t="str">
        <f t="shared" si="9"/>
        <v/>
      </c>
      <c r="Z50" s="81" t="str">
        <f t="shared" si="9"/>
        <v/>
      </c>
      <c r="AA50" s="7"/>
      <c r="AB50" s="3"/>
      <c r="AC50" s="6"/>
      <c r="AD50" s="3"/>
      <c r="AE50" s="3"/>
      <c r="AF50" s="3"/>
      <c r="AG50" s="3"/>
      <c r="AH50" s="3"/>
    </row>
    <row r="51" spans="1:34" s="15" customFormat="1" ht="15" customHeight="1" x14ac:dyDescent="0.2">
      <c r="A51" s="3"/>
      <c r="B51" s="3"/>
      <c r="C51" s="269" t="s">
        <v>25</v>
      </c>
      <c r="D51" s="7"/>
      <c r="E51" s="27" t="s">
        <v>22</v>
      </c>
      <c r="F51" s="13" t="str">
        <f t="shared" ref="F51:Z51" ca="1" si="10">IF(AND(ISNUMBER(OFFSET(F40,0,-1)),ISNUMBER(F40)),100*_xlfn.T.DIST((F40-OFFSET(F40,0,-1)-($E$21*ISNUMBER($E$21)+$E$22*ISNUMBER($E$22)*OFFSET(F40,0,-1)/100))/SQRT(F65^2+OFFSET(F65,0,-1)^2),IF(ISBLANK($D$20),$F76-2,$D$20),1),"")</f>
        <v/>
      </c>
      <c r="G51" s="13">
        <f t="shared" ca="1" si="10"/>
        <v>29.051210834178342</v>
      </c>
      <c r="H51" s="13">
        <f t="shared" ca="1" si="10"/>
        <v>3.3793047805592717</v>
      </c>
      <c r="I51" s="13">
        <f t="shared" ca="1" si="10"/>
        <v>58.387412154886498</v>
      </c>
      <c r="J51" s="13">
        <f t="shared" ca="1" si="10"/>
        <v>64.060374646619579</v>
      </c>
      <c r="K51" s="13">
        <f t="shared" ca="1" si="10"/>
        <v>8.4076444104152763</v>
      </c>
      <c r="L51" s="13">
        <f t="shared" ca="1" si="10"/>
        <v>30.62253700823474</v>
      </c>
      <c r="M51" s="13">
        <f t="shared" ca="1" si="10"/>
        <v>5.4088281783542538</v>
      </c>
      <c r="N51" s="13">
        <f t="shared" ca="1" si="10"/>
        <v>39.448778657577293</v>
      </c>
      <c r="O51" s="13">
        <f t="shared" ca="1" si="10"/>
        <v>0.45930174704526477</v>
      </c>
      <c r="P51" s="13">
        <f t="shared" ca="1" si="10"/>
        <v>18.52480023019185</v>
      </c>
      <c r="Q51" s="13">
        <f t="shared" ca="1" si="10"/>
        <v>93.09195590950263</v>
      </c>
      <c r="R51" s="13">
        <f t="shared" ca="1" si="10"/>
        <v>81.088092123983884</v>
      </c>
      <c r="S51" s="13">
        <f t="shared" ca="1" si="10"/>
        <v>6.0898571611157655</v>
      </c>
      <c r="T51" s="13">
        <f t="shared" ca="1" si="10"/>
        <v>1.1921024883998648</v>
      </c>
      <c r="U51" s="13">
        <f t="shared" ca="1" si="10"/>
        <v>42.591107410778328</v>
      </c>
      <c r="V51" s="13">
        <f t="shared" ca="1" si="10"/>
        <v>1.0820669379874914</v>
      </c>
      <c r="W51" s="13">
        <f t="shared" ca="1" si="10"/>
        <v>22.747401771527176</v>
      </c>
      <c r="X51" s="13">
        <f t="shared" ca="1" si="10"/>
        <v>6.666213582516149</v>
      </c>
      <c r="Y51" s="13">
        <f t="shared" ca="1" si="10"/>
        <v>57.585762770196737</v>
      </c>
      <c r="Z51" s="13">
        <f t="shared" ca="1" si="10"/>
        <v>0.65938869234573905</v>
      </c>
      <c r="AA51" s="7"/>
      <c r="AB51" s="3"/>
      <c r="AC51" s="6"/>
      <c r="AD51" s="3"/>
      <c r="AE51" s="3"/>
      <c r="AF51" s="3"/>
      <c r="AG51" s="3"/>
      <c r="AH51" s="3"/>
    </row>
    <row r="52" spans="1:34" s="15" customFormat="1" x14ac:dyDescent="0.2">
      <c r="A52" s="3"/>
      <c r="B52" s="3"/>
      <c r="C52" s="269"/>
      <c r="D52" s="7"/>
      <c r="E52" s="27" t="s">
        <v>23</v>
      </c>
      <c r="F52" s="13" t="str">
        <f ca="1">IF(AND(ISNUMBER(OFFSET(F40,0,-1)),ISNUMBER(F40)),100-F51-F53,"")</f>
        <v/>
      </c>
      <c r="G52" s="13">
        <f ca="1">IF(AND(ISNUMBER(OFFSET(G40,0,-1)),ISNUMBER(G40)),100-G51-G53,"")</f>
        <v>43.314315094814148</v>
      </c>
      <c r="H52" s="13">
        <f ca="1">IF(AND(ISNUMBER(OFFSET(H40,0,-1)),ISNUMBER(H40)),100-H51-H53,"")</f>
        <v>19.508258641433201</v>
      </c>
      <c r="I52" s="13">
        <f t="shared" ref="I52:Z52" ca="1" si="11">IF(AND(ISNUMBER(OFFSET(I40,0,-1)),ISNUMBER(I40)),100-I51-I53,"")</f>
        <v>31.829007261020152</v>
      </c>
      <c r="J52" s="13">
        <f t="shared" ca="1" si="11"/>
        <v>28.999475115624559</v>
      </c>
      <c r="K52" s="13">
        <f t="shared" ca="1" si="11"/>
        <v>34.15412859564789</v>
      </c>
      <c r="L52" s="13">
        <f t="shared" ca="1" si="11"/>
        <v>44.825541364301905</v>
      </c>
      <c r="M52" s="13">
        <f t="shared" ca="1" si="11"/>
        <v>27.542943635340563</v>
      </c>
      <c r="N52" s="13">
        <f t="shared" ca="1" si="11"/>
        <v>42.301756854313936</v>
      </c>
      <c r="O52" s="13">
        <f t="shared" ca="1" si="11"/>
        <v>5.1291253469553482</v>
      </c>
      <c r="P52" s="13">
        <f t="shared" ca="1" si="11"/>
        <v>39.883676519195603</v>
      </c>
      <c r="Q52" s="13">
        <f t="shared" ca="1" si="11"/>
        <v>6.1638952318201508</v>
      </c>
      <c r="R52" s="13">
        <f t="shared" ca="1" si="11"/>
        <v>16.700734834184455</v>
      </c>
      <c r="S52" s="13">
        <f t="shared" ca="1" si="11"/>
        <v>33.327559145876656</v>
      </c>
      <c r="T52" s="13">
        <f t="shared" ca="1" si="11"/>
        <v>12.274576866947172</v>
      </c>
      <c r="U52" s="13">
        <f t="shared" ca="1" si="11"/>
        <v>42.210139608963054</v>
      </c>
      <c r="V52" s="13">
        <f t="shared" ca="1" si="11"/>
        <v>10.856013593552788</v>
      </c>
      <c r="W52" s="13">
        <f ca="1">IF(AND(ISNUMBER(OFFSET(W40,0,-1)),ISNUMBER(W40)),100-W51-W53,"")</f>
        <v>44.275812147920234</v>
      </c>
      <c r="X52" s="13">
        <f ca="1">IF(AND(ISNUMBER(OFFSET(X40,0,-1)),ISNUMBER(X40)),100-X51-X53,"")</f>
        <v>29.920058785218316</v>
      </c>
      <c r="Y52" s="13">
        <f t="shared" ca="1" si="11"/>
        <v>33.294967783527689</v>
      </c>
      <c r="Z52" s="13">
        <f t="shared" ca="1" si="11"/>
        <v>7.0316935482945979</v>
      </c>
      <c r="AA52" s="7"/>
      <c r="AB52" s="3"/>
      <c r="AC52" s="6"/>
      <c r="AD52" s="3"/>
      <c r="AE52" s="3"/>
      <c r="AF52" s="3"/>
      <c r="AG52" s="3"/>
      <c r="AH52" s="3"/>
    </row>
    <row r="53" spans="1:34" s="15" customFormat="1" x14ac:dyDescent="0.2">
      <c r="A53" s="3"/>
      <c r="B53" s="3"/>
      <c r="C53" s="269"/>
      <c r="D53" s="7"/>
      <c r="E53" s="27" t="s">
        <v>24</v>
      </c>
      <c r="F53" s="29" t="str">
        <f t="shared" ref="F53:Z53" ca="1" si="12">IF(AND(ISNUMBER(OFFSET(F40,0,-1)),ISNUMBER(F40)),100*_xlfn.T.DIST((OFFSET(F40,0,-1)-F40-($E$21*ISNUMBER($E$21)+$E$22*ISNUMBER($E$22)*OFFSET(F40,0,-1)/100))/SQRT(F65^2+OFFSET(F65,0,-1)^2),IF(ISBLANK($D$20),$F76-2,$D$20),1),"")</f>
        <v/>
      </c>
      <c r="G53" s="29">
        <f t="shared" ca="1" si="12"/>
        <v>27.634474071007521</v>
      </c>
      <c r="H53" s="29">
        <f t="shared" ca="1" si="12"/>
        <v>77.112436578007532</v>
      </c>
      <c r="I53" s="29">
        <f t="shared" ca="1" si="12"/>
        <v>9.7835805840933485</v>
      </c>
      <c r="J53" s="29">
        <f t="shared" ca="1" si="12"/>
        <v>6.940150237755863</v>
      </c>
      <c r="K53" s="29">
        <f t="shared" ca="1" si="12"/>
        <v>57.438226993936837</v>
      </c>
      <c r="L53" s="29">
        <f t="shared" ca="1" si="12"/>
        <v>24.551921627463351</v>
      </c>
      <c r="M53" s="29">
        <f t="shared" ca="1" si="12"/>
        <v>67.048228186305181</v>
      </c>
      <c r="N53" s="29">
        <f t="shared" ca="1" si="12"/>
        <v>18.249464488108774</v>
      </c>
      <c r="O53" s="29">
        <f t="shared" ca="1" si="12"/>
        <v>94.411572905999392</v>
      </c>
      <c r="P53" s="29">
        <f t="shared" ca="1" si="12"/>
        <v>41.591523250612539</v>
      </c>
      <c r="Q53" s="29">
        <f t="shared" ca="1" si="12"/>
        <v>0.74414885867721914</v>
      </c>
      <c r="R53" s="29">
        <f t="shared" ca="1" si="12"/>
        <v>2.2111730418316595</v>
      </c>
      <c r="S53" s="29">
        <f t="shared" ca="1" si="12"/>
        <v>60.582583693007585</v>
      </c>
      <c r="T53" s="29">
        <f t="shared" ca="1" si="12"/>
        <v>86.53332064465296</v>
      </c>
      <c r="U53" s="29">
        <f t="shared" ca="1" si="12"/>
        <v>15.198752980258618</v>
      </c>
      <c r="V53" s="29">
        <f t="shared" ca="1" si="12"/>
        <v>88.06191946845972</v>
      </c>
      <c r="W53" s="29">
        <f t="shared" ca="1" si="12"/>
        <v>32.976786080552586</v>
      </c>
      <c r="X53" s="29">
        <f t="shared" ca="1" si="12"/>
        <v>63.413727632265534</v>
      </c>
      <c r="Y53" s="29">
        <f t="shared" ca="1" si="12"/>
        <v>9.1192694462755721</v>
      </c>
      <c r="Z53" s="29">
        <f t="shared" ca="1" si="12"/>
        <v>92.308917759359659</v>
      </c>
      <c r="AA53" s="7"/>
      <c r="AB53" s="3"/>
      <c r="AC53" s="6"/>
      <c r="AD53" s="3"/>
      <c r="AE53" s="3"/>
      <c r="AF53" s="3"/>
      <c r="AG53" s="3"/>
      <c r="AH53" s="3"/>
    </row>
    <row r="54" spans="1:34" s="15" customFormat="1" ht="15.75" thickBot="1" x14ac:dyDescent="0.25">
      <c r="A54" s="3"/>
      <c r="B54" s="3"/>
      <c r="C54" s="272"/>
      <c r="D54" s="25"/>
      <c r="E54" s="120" t="s">
        <v>8</v>
      </c>
      <c r="F54" s="14" t="str">
        <f t="shared" ref="F54" ca="1" si="13">IF(ISNUMBER(F51),IF(AND(F51&gt;$E$6,F53&gt;$E$6),"?",(IF(F51&gt;$E$6,"­"&amp;IF(F51&gt;100-$E$6,"*",""),""))&amp;(IF(F52&gt;$E$6,"«"&amp;IF(F52&gt;100-$E$6,"*",""),""))&amp;(IF(F53&gt;$E$6,"¯"&amp;IF(F53&gt;100-$E$6,"*",""),""))),"")</f>
        <v/>
      </c>
      <c r="G54" s="14" t="str">
        <f ca="1">IF(ISNUMBER(G51),IF(AND(G51&gt;$E$6,G53&gt;$E$6),"?",(IF(G51&gt;$E$6,"­"&amp;IF(G51&gt;100-$E$6,"*",""),""))&amp;(IF(G52&gt;$E$6,"«"&amp;IF(G52&gt;100-$E$6,"*",""),""))&amp;(IF(G53&gt;$E$6,"¯"&amp;IF(G53&gt;100-$E$6,"*",""),""))),"")</f>
        <v>?</v>
      </c>
      <c r="H54" s="14" t="str">
        <f t="shared" ref="H54:Z54" ca="1" si="14">IF(ISNUMBER(H51),IF(AND(H51&gt;$E$6,H53&gt;$E$6),"?",(IF(H51&gt;$E$6,"­"&amp;IF(H51&gt;100-$E$6,"*",""),""))&amp;(IF(H52&gt;$E$6,"«"&amp;IF(H52&gt;100-$E$6,"*",""),""))&amp;(IF(H53&gt;$E$6,"¯"&amp;IF(H53&gt;100-$E$6,"*",""),""))),"")</f>
        <v>«¯</v>
      </c>
      <c r="I54" s="14" t="str">
        <f t="shared" ca="1" si="14"/>
        <v>­«</v>
      </c>
      <c r="J54" s="14" t="str">
        <f t="shared" ca="1" si="14"/>
        <v>­«</v>
      </c>
      <c r="K54" s="14" t="str">
        <f t="shared" ca="1" si="14"/>
        <v>«¯</v>
      </c>
      <c r="L54" s="14" t="str">
        <f t="shared" ca="1" si="14"/>
        <v>?</v>
      </c>
      <c r="M54" s="14" t="str">
        <f t="shared" ca="1" si="14"/>
        <v>«¯</v>
      </c>
      <c r="N54" s="14" t="str">
        <f t="shared" ca="1" si="14"/>
        <v>?</v>
      </c>
      <c r="O54" s="14" t="str">
        <f t="shared" ca="1" si="14"/>
        <v>¯*</v>
      </c>
      <c r="P54" s="14" t="str">
        <f t="shared" ca="1" si="14"/>
        <v>?</v>
      </c>
      <c r="Q54" s="14" t="str">
        <f t="shared" ca="1" si="14"/>
        <v>­*</v>
      </c>
      <c r="R54" s="14" t="str">
        <f t="shared" ca="1" si="14"/>
        <v>­«</v>
      </c>
      <c r="S54" s="14" t="str">
        <f t="shared" ca="1" si="14"/>
        <v>«¯</v>
      </c>
      <c r="T54" s="14" t="str">
        <f t="shared" ca="1" si="14"/>
        <v>«¯</v>
      </c>
      <c r="U54" s="14" t="str">
        <f t="shared" ca="1" si="14"/>
        <v>?</v>
      </c>
      <c r="V54" s="14" t="str">
        <f t="shared" ca="1" si="14"/>
        <v>«¯</v>
      </c>
      <c r="W54" s="14" t="str">
        <f t="shared" ca="1" si="14"/>
        <v>?</v>
      </c>
      <c r="X54" s="14" t="str">
        <f t="shared" ca="1" si="14"/>
        <v>«¯</v>
      </c>
      <c r="Y54" s="14" t="str">
        <f t="shared" ca="1" si="14"/>
        <v>­«</v>
      </c>
      <c r="Z54" s="14" t="str">
        <f t="shared" ca="1" si="14"/>
        <v>¯*</v>
      </c>
      <c r="AA54" s="7"/>
      <c r="AB54" s="3"/>
      <c r="AC54" s="6"/>
      <c r="AD54" s="3"/>
      <c r="AE54" s="3"/>
      <c r="AF54" s="3"/>
      <c r="AG54" s="3"/>
      <c r="AH54" s="3"/>
    </row>
    <row r="55" spans="1:34" s="15" customFormat="1" x14ac:dyDescent="0.2">
      <c r="A55" s="3"/>
      <c r="B55" s="3"/>
      <c r="C55" s="39"/>
      <c r="D55" s="53" t="s">
        <v>30</v>
      </c>
      <c r="E55" s="52">
        <f ca="1">F71*E37</f>
        <v>-5.9055885212550869</v>
      </c>
      <c r="F55" s="43" t="str">
        <f>"per "&amp;E37&amp;" unit(s) of time"</f>
        <v>per 10 unit(s) of time</v>
      </c>
      <c r="G55" s="44"/>
      <c r="H55" s="44"/>
      <c r="I55" s="44"/>
      <c r="J55" s="44"/>
      <c r="K55" s="44"/>
      <c r="L55" s="44"/>
      <c r="M55" s="44"/>
      <c r="N55" s="44"/>
      <c r="O55" s="44"/>
      <c r="P55" s="44"/>
      <c r="Q55" s="44"/>
      <c r="R55" s="44"/>
      <c r="S55" s="44"/>
      <c r="T55" s="44"/>
      <c r="U55" s="44"/>
      <c r="V55" s="44"/>
      <c r="W55" s="44"/>
      <c r="X55" s="44"/>
      <c r="Y55" s="44"/>
      <c r="Z55" s="44"/>
      <c r="AA55" s="7"/>
      <c r="AB55" s="3"/>
      <c r="AC55" s="6"/>
      <c r="AD55" s="3"/>
      <c r="AE55" s="3"/>
      <c r="AF55" s="3"/>
      <c r="AG55" s="3"/>
      <c r="AH55" s="3"/>
    </row>
    <row r="56" spans="1:34" s="15" customFormat="1" x14ac:dyDescent="0.2">
      <c r="A56" s="3"/>
      <c r="B56" s="3"/>
      <c r="C56" s="40"/>
      <c r="D56" s="20" t="s">
        <v>87</v>
      </c>
      <c r="E56" s="45">
        <f ca="1">IF(AND(ISBLANK($E$36),ISBLANK($E$35)),"",ABS(($E$35+$E$36*AVERAGE(F63:Z63)/100)/$E$37))*E37</f>
        <v>2.3561626940789413</v>
      </c>
      <c r="F56" s="42" t="str">
        <f>"per "&amp;E37&amp;" unit(s) of time"</f>
        <v>per 10 unit(s) of time</v>
      </c>
      <c r="G56" s="44"/>
      <c r="H56" s="44"/>
      <c r="I56" s="44"/>
      <c r="J56" s="44"/>
      <c r="K56" s="44"/>
      <c r="L56" s="44"/>
      <c r="M56" s="44"/>
      <c r="N56" s="44"/>
      <c r="O56" s="44"/>
      <c r="P56" s="44"/>
      <c r="Q56" s="44"/>
      <c r="R56" s="44"/>
      <c r="S56" s="44"/>
      <c r="T56" s="44"/>
      <c r="U56" s="44"/>
      <c r="V56" s="44"/>
      <c r="W56" s="44"/>
      <c r="X56" s="44"/>
      <c r="Y56" s="44"/>
      <c r="Z56" s="44"/>
      <c r="AA56" s="7"/>
      <c r="AB56" s="3"/>
      <c r="AC56" s="6"/>
      <c r="AD56" s="3"/>
      <c r="AE56" s="3"/>
      <c r="AF56" s="3"/>
      <c r="AG56" s="3"/>
      <c r="AH56" s="3"/>
    </row>
    <row r="57" spans="1:34" s="15" customFormat="1" x14ac:dyDescent="0.2">
      <c r="A57" s="3"/>
      <c r="B57" s="3"/>
      <c r="C57" s="40"/>
      <c r="D57" s="20" t="s">
        <v>22</v>
      </c>
      <c r="E57" s="13">
        <f ca="1">IF(ISNUMBER(E56),100*_xlfn.T.DIST((E55-E56)/F72/E37,F76-2,1),"")</f>
        <v>5.0849443770759638E-2</v>
      </c>
      <c r="F57" s="44"/>
      <c r="G57" s="44"/>
      <c r="H57" s="44"/>
      <c r="I57" s="44"/>
      <c r="J57" s="44"/>
      <c r="K57" s="44"/>
      <c r="L57" s="44"/>
      <c r="M57" s="44"/>
      <c r="N57" s="44"/>
      <c r="O57" s="44"/>
      <c r="P57" s="44"/>
      <c r="Q57" s="44"/>
      <c r="R57" s="44"/>
      <c r="S57" s="44"/>
      <c r="T57" s="44"/>
      <c r="U57" s="44"/>
      <c r="V57" s="44"/>
      <c r="W57" s="44"/>
      <c r="X57" s="44"/>
      <c r="Y57" s="44"/>
      <c r="Z57" s="44"/>
      <c r="AA57" s="7"/>
      <c r="AB57" s="3"/>
      <c r="AC57" s="6"/>
      <c r="AD57" s="3"/>
      <c r="AE57" s="3"/>
      <c r="AF57" s="3"/>
      <c r="AG57" s="3"/>
      <c r="AH57" s="3"/>
    </row>
    <row r="58" spans="1:34" s="15" customFormat="1" x14ac:dyDescent="0.2">
      <c r="A58" s="3"/>
      <c r="B58" s="3"/>
      <c r="C58" s="40"/>
      <c r="D58" s="20" t="s">
        <v>23</v>
      </c>
      <c r="E58" s="13">
        <f ca="1">IF(ISNUMBER(E56),100-E57-E59,"")</f>
        <v>3.4866769402660509</v>
      </c>
      <c r="F58" s="44"/>
      <c r="G58" s="44"/>
      <c r="H58" s="44"/>
      <c r="I58" s="44"/>
      <c r="J58" s="44"/>
      <c r="K58" s="44"/>
      <c r="L58" s="44"/>
      <c r="M58" s="44"/>
      <c r="N58" s="44"/>
      <c r="O58" s="44"/>
      <c r="P58" s="44"/>
      <c r="Q58" s="44"/>
      <c r="R58" s="44"/>
      <c r="S58" s="44"/>
      <c r="T58" s="44"/>
      <c r="U58" s="44"/>
      <c r="V58" s="44"/>
      <c r="W58" s="44"/>
      <c r="X58" s="44"/>
      <c r="Y58" s="44"/>
      <c r="Z58" s="44"/>
      <c r="AA58" s="7"/>
      <c r="AB58" s="3"/>
      <c r="AC58" s="6"/>
      <c r="AD58" s="3"/>
      <c r="AE58" s="3"/>
      <c r="AF58" s="3"/>
      <c r="AG58" s="3"/>
      <c r="AH58" s="3"/>
    </row>
    <row r="59" spans="1:34" s="15" customFormat="1" x14ac:dyDescent="0.2">
      <c r="A59" s="3"/>
      <c r="B59" s="3"/>
      <c r="C59" s="40"/>
      <c r="D59" s="20" t="s">
        <v>24</v>
      </c>
      <c r="E59" s="29">
        <f ca="1">IF(ISNUMBER(E56),100*_xlfn.T.DIST((-E55-E56)/F72/E37,F76-2,1),"")</f>
        <v>96.462473615963191</v>
      </c>
      <c r="F59" s="44"/>
      <c r="G59" s="44"/>
      <c r="H59" s="44"/>
      <c r="I59" s="44"/>
      <c r="J59" s="44"/>
      <c r="K59" s="44"/>
      <c r="L59" s="44"/>
      <c r="M59" s="44"/>
      <c r="N59" s="44"/>
      <c r="O59" s="44"/>
      <c r="P59" s="44"/>
      <c r="Q59" s="44"/>
      <c r="R59" s="44"/>
      <c r="S59" s="44"/>
      <c r="T59" s="44"/>
      <c r="U59" s="44"/>
      <c r="V59" s="44"/>
      <c r="W59" s="44"/>
      <c r="X59" s="44"/>
      <c r="Y59" s="44"/>
      <c r="Z59" s="44"/>
      <c r="AA59" s="7"/>
      <c r="AB59" s="3"/>
      <c r="AC59" s="6"/>
      <c r="AD59" s="3"/>
      <c r="AE59" s="3"/>
      <c r="AF59" s="3"/>
      <c r="AG59" s="3"/>
      <c r="AH59" s="3"/>
    </row>
    <row r="60" spans="1:34" s="15" customFormat="1" x14ac:dyDescent="0.2">
      <c r="A60" s="3"/>
      <c r="B60" s="3"/>
      <c r="C60" s="41"/>
      <c r="D60" s="33" t="s">
        <v>8</v>
      </c>
      <c r="E60" s="14" t="str">
        <f ca="1">IF(ISNUMBER(E57),IF(AND(E57&gt;$E$6,E59&gt;$E$6),"?",(IF(E57&gt;$E$6,"­"&amp;IF(E57&gt;100-$E$6,"*",""),""))&amp;(IF(E58&gt;$E$6,"«"&amp;IF(E58&gt;100-$E$6,"*",""),""))&amp;(IF(E59&gt;$E$6,"¯"&amp;IF(E59&gt;100-$E$6,"*",""),""))),"")</f>
        <v>¯*</v>
      </c>
      <c r="F60" s="3"/>
      <c r="G60" s="3"/>
      <c r="H60" s="3"/>
      <c r="I60" s="3"/>
      <c r="J60" s="3"/>
      <c r="K60" s="3"/>
      <c r="L60" s="3"/>
      <c r="M60" s="3"/>
      <c r="N60" s="3"/>
      <c r="O60" s="3"/>
      <c r="P60" s="3"/>
      <c r="Q60" s="3"/>
      <c r="R60" s="3"/>
      <c r="S60" s="3"/>
      <c r="T60" s="3"/>
      <c r="U60" s="3"/>
      <c r="V60" s="44"/>
      <c r="W60" s="3"/>
      <c r="X60" s="3"/>
      <c r="Y60" s="3"/>
      <c r="Z60" s="3"/>
      <c r="AA60" s="7"/>
      <c r="AB60" s="3"/>
      <c r="AC60" s="6"/>
      <c r="AD60" s="3"/>
      <c r="AE60" s="3"/>
      <c r="AF60" s="3"/>
      <c r="AG60" s="3"/>
      <c r="AH60" s="3"/>
    </row>
    <row r="61" spans="1:34" s="15" customFormat="1" x14ac:dyDescent="0.2">
      <c r="A61" s="3"/>
      <c r="B61" s="3"/>
      <c r="C61" s="3" t="s">
        <v>202</v>
      </c>
      <c r="D61" s="3"/>
      <c r="E61" s="3"/>
      <c r="F61" s="25"/>
      <c r="G61" s="25"/>
      <c r="H61" s="25"/>
      <c r="I61" s="25"/>
      <c r="J61" s="25"/>
      <c r="K61" s="25"/>
      <c r="L61" s="25"/>
      <c r="M61" s="25"/>
      <c r="N61" s="25"/>
      <c r="O61" s="25"/>
      <c r="P61" s="25"/>
      <c r="Q61" s="25"/>
      <c r="R61" s="25"/>
      <c r="S61" s="25"/>
      <c r="T61" s="25"/>
      <c r="U61" s="25"/>
      <c r="V61" s="25"/>
      <c r="W61" s="25"/>
      <c r="X61" s="25"/>
      <c r="Y61" s="25"/>
      <c r="Z61" s="25"/>
      <c r="AA61" s="7"/>
      <c r="AB61" s="3"/>
      <c r="AC61" s="6"/>
      <c r="AD61" s="3"/>
      <c r="AE61" s="3"/>
      <c r="AF61" s="3"/>
      <c r="AG61" s="3"/>
      <c r="AH61" s="3"/>
    </row>
    <row r="62" spans="1:34" s="15" customFormat="1" x14ac:dyDescent="0.2">
      <c r="A62" s="3"/>
      <c r="B62" s="3"/>
      <c r="C62" s="30"/>
      <c r="D62" s="24"/>
      <c r="E62" s="31" t="s">
        <v>9</v>
      </c>
      <c r="F62" s="9">
        <f t="shared" ref="F62:Z62" si="15">IF(OR(ISBLANK(F41),F41=0),"",F39)</f>
        <v>0.1</v>
      </c>
      <c r="G62" s="10">
        <f t="shared" si="15"/>
        <v>1</v>
      </c>
      <c r="H62" s="10">
        <f t="shared" si="15"/>
        <v>2</v>
      </c>
      <c r="I62" s="10">
        <f t="shared" si="15"/>
        <v>3</v>
      </c>
      <c r="J62" s="10">
        <f t="shared" si="15"/>
        <v>4</v>
      </c>
      <c r="K62" s="10">
        <f t="shared" si="15"/>
        <v>5</v>
      </c>
      <c r="L62" s="10">
        <f t="shared" si="15"/>
        <v>6</v>
      </c>
      <c r="M62" s="10">
        <f t="shared" si="15"/>
        <v>7</v>
      </c>
      <c r="N62" s="10">
        <f t="shared" si="15"/>
        <v>8</v>
      </c>
      <c r="O62" s="10">
        <f t="shared" si="15"/>
        <v>9</v>
      </c>
      <c r="P62" s="10">
        <f t="shared" si="15"/>
        <v>10</v>
      </c>
      <c r="Q62" s="10" t="str">
        <f t="shared" si="15"/>
        <v/>
      </c>
      <c r="R62" s="10" t="str">
        <f t="shared" si="15"/>
        <v/>
      </c>
      <c r="S62" s="10" t="str">
        <f t="shared" si="15"/>
        <v/>
      </c>
      <c r="T62" s="10" t="str">
        <f t="shared" si="15"/>
        <v/>
      </c>
      <c r="U62" s="10" t="str">
        <f t="shared" si="15"/>
        <v/>
      </c>
      <c r="V62" s="10" t="str">
        <f t="shared" si="15"/>
        <v/>
      </c>
      <c r="W62" s="10" t="str">
        <f t="shared" si="15"/>
        <v/>
      </c>
      <c r="X62" s="10" t="str">
        <f t="shared" si="15"/>
        <v/>
      </c>
      <c r="Y62" s="10" t="str">
        <f t="shared" si="15"/>
        <v/>
      </c>
      <c r="Z62" s="10" t="str">
        <f t="shared" si="15"/>
        <v/>
      </c>
      <c r="AA62" s="8"/>
      <c r="AB62" s="3"/>
      <c r="AC62" s="6"/>
      <c r="AD62" s="3"/>
      <c r="AE62" s="3"/>
      <c r="AF62" s="3"/>
      <c r="AG62" s="3"/>
      <c r="AH62" s="3"/>
    </row>
    <row r="63" spans="1:34" s="15" customFormat="1" x14ac:dyDescent="0.2">
      <c r="A63" s="3"/>
      <c r="B63" s="3"/>
      <c r="C63" s="8"/>
      <c r="D63" s="7"/>
      <c r="E63" s="20" t="s">
        <v>10</v>
      </c>
      <c r="F63" s="9">
        <f t="shared" ref="F63:Z63" ca="1" si="16">IF(OR(ISBLANK(F41),F41=0),"",F40)</f>
        <v>49.227062874345329</v>
      </c>
      <c r="G63" s="10">
        <f t="shared" ca="1" si="16"/>
        <v>49.272412402984322</v>
      </c>
      <c r="H63" s="10">
        <f t="shared" ca="1" si="16"/>
        <v>46.458485369048191</v>
      </c>
      <c r="I63" s="10">
        <f t="shared" ca="1" si="16"/>
        <v>48.062795746268662</v>
      </c>
      <c r="J63" s="10">
        <f t="shared" ca="1" si="16"/>
        <v>50.008885957643578</v>
      </c>
      <c r="K63" s="10">
        <f t="shared" ca="1" si="16"/>
        <v>48.376140047936438</v>
      </c>
      <c r="L63" s="10">
        <f t="shared" ca="1" si="16"/>
        <v>48.562111904460011</v>
      </c>
      <c r="M63" s="10">
        <f t="shared" ca="1" si="16"/>
        <v>46.468593225676877</v>
      </c>
      <c r="N63" s="10">
        <f t="shared" ca="1" si="16"/>
        <v>47.104544606880125</v>
      </c>
      <c r="O63" s="10">
        <f t="shared" ca="1" si="16"/>
        <v>42.738501943877203</v>
      </c>
      <c r="P63" s="10">
        <f t="shared" ca="1" si="16"/>
        <v>42.076258618246371</v>
      </c>
      <c r="Q63" s="10" t="str">
        <f t="shared" si="16"/>
        <v/>
      </c>
      <c r="R63" s="10" t="str">
        <f t="shared" si="16"/>
        <v/>
      </c>
      <c r="S63" s="10" t="str">
        <f t="shared" si="16"/>
        <v/>
      </c>
      <c r="T63" s="10" t="str">
        <f t="shared" si="16"/>
        <v/>
      </c>
      <c r="U63" s="10" t="str">
        <f t="shared" si="16"/>
        <v/>
      </c>
      <c r="V63" s="10" t="str">
        <f t="shared" si="16"/>
        <v/>
      </c>
      <c r="W63" s="10" t="str">
        <f t="shared" si="16"/>
        <v/>
      </c>
      <c r="X63" s="10" t="str">
        <f t="shared" si="16"/>
        <v/>
      </c>
      <c r="Y63" s="10" t="str">
        <f t="shared" si="16"/>
        <v/>
      </c>
      <c r="Z63" s="10" t="str">
        <f t="shared" si="16"/>
        <v/>
      </c>
      <c r="AA63" s="8"/>
      <c r="AB63" s="3"/>
      <c r="AC63" s="6"/>
      <c r="AD63" s="3"/>
      <c r="AE63" s="3"/>
      <c r="AF63" s="3"/>
      <c r="AG63" s="3"/>
      <c r="AH63" s="3"/>
    </row>
    <row r="64" spans="1:34" s="15" customFormat="1" x14ac:dyDescent="0.2">
      <c r="A64" s="3"/>
      <c r="B64" s="3"/>
      <c r="C64" s="8"/>
      <c r="D64" s="7"/>
      <c r="E64" s="20" t="s">
        <v>11</v>
      </c>
      <c r="F64" s="217">
        <f t="shared" ref="F64:Z64" ca="1" si="17">IF(ISNUMBER(F40),$F70+$F71*F39,"")</f>
        <v>50.022360973831333</v>
      </c>
      <c r="G64" s="218">
        <f t="shared" ca="1" si="17"/>
        <v>49.490858006918373</v>
      </c>
      <c r="H64" s="218">
        <f t="shared" ca="1" si="17"/>
        <v>48.900299154792869</v>
      </c>
      <c r="I64" s="218">
        <f t="shared" ca="1" si="17"/>
        <v>48.309740302667358</v>
      </c>
      <c r="J64" s="218">
        <f t="shared" ca="1" si="17"/>
        <v>47.719181450541846</v>
      </c>
      <c r="K64" s="218">
        <f t="shared" ca="1" si="17"/>
        <v>47.128622598416342</v>
      </c>
      <c r="L64" s="218">
        <f t="shared" ca="1" si="17"/>
        <v>46.538063746290831</v>
      </c>
      <c r="M64" s="218">
        <f t="shared" ca="1" si="17"/>
        <v>45.94750489416532</v>
      </c>
      <c r="N64" s="218">
        <f t="shared" ca="1" si="17"/>
        <v>45.356946042039816</v>
      </c>
      <c r="O64" s="218">
        <f t="shared" ca="1" si="17"/>
        <v>44.766387189914305</v>
      </c>
      <c r="P64" s="218">
        <f t="shared" ca="1" si="17"/>
        <v>44.175828337788801</v>
      </c>
      <c r="Q64" s="218">
        <f t="shared" ca="1" si="17"/>
        <v>43.585269485663289</v>
      </c>
      <c r="R64" s="218">
        <f t="shared" ca="1" si="17"/>
        <v>42.994710633537778</v>
      </c>
      <c r="S64" s="218">
        <f t="shared" ca="1" si="17"/>
        <v>42.404151781412267</v>
      </c>
      <c r="T64" s="218">
        <f t="shared" ca="1" si="17"/>
        <v>41.813592929286763</v>
      </c>
      <c r="U64" s="218">
        <f t="shared" ca="1" si="17"/>
        <v>41.223034077161252</v>
      </c>
      <c r="V64" s="218">
        <f t="shared" ca="1" si="17"/>
        <v>40.632475225035748</v>
      </c>
      <c r="W64" s="218">
        <f t="shared" ca="1" si="17"/>
        <v>40.041916372910237</v>
      </c>
      <c r="X64" s="218">
        <f t="shared" ca="1" si="17"/>
        <v>39.451357520784725</v>
      </c>
      <c r="Y64" s="218">
        <f t="shared" ca="1" si="17"/>
        <v>38.860798668659214</v>
      </c>
      <c r="Z64" s="218">
        <f t="shared" ca="1" si="17"/>
        <v>38.27023981653371</v>
      </c>
      <c r="AA64" s="8"/>
      <c r="AB64" s="3"/>
      <c r="AC64" s="6"/>
      <c r="AD64" s="3"/>
      <c r="AE64" s="3"/>
      <c r="AF64" s="3"/>
      <c r="AG64" s="3"/>
      <c r="AH64" s="3"/>
    </row>
    <row r="65" spans="1:34" s="15" customFormat="1" x14ac:dyDescent="0.2">
      <c r="A65" s="3"/>
      <c r="B65" s="3"/>
      <c r="C65" s="8"/>
      <c r="D65" s="7"/>
      <c r="E65" s="20" t="s">
        <v>15</v>
      </c>
      <c r="F65" s="9">
        <f t="shared" ref="F65:Z65" ca="1" si="18">IF(ISNUMBER(F40),IF(ISBLANK($D$20),$F73,$D$18*ISNUMBER($D$18)+$D$19*ISNUMBER($D$19)*F64/100),"")</f>
        <v>1.50067082921494</v>
      </c>
      <c r="G65" s="10">
        <f t="shared" ca="1" si="18"/>
        <v>1.4847257402075513</v>
      </c>
      <c r="H65" s="10">
        <f t="shared" ca="1" si="18"/>
        <v>1.4670089746437862</v>
      </c>
      <c r="I65" s="10">
        <f t="shared" ca="1" si="18"/>
        <v>1.4492922090800207</v>
      </c>
      <c r="J65" s="10">
        <f t="shared" ca="1" si="18"/>
        <v>1.4315754435162555</v>
      </c>
      <c r="K65" s="10">
        <f t="shared" ca="1" si="18"/>
        <v>1.4138586779524902</v>
      </c>
      <c r="L65" s="10">
        <f t="shared" ca="1" si="18"/>
        <v>1.3961419123887249</v>
      </c>
      <c r="M65" s="10">
        <f t="shared" ca="1" si="18"/>
        <v>1.3784251468249595</v>
      </c>
      <c r="N65" s="10">
        <f t="shared" ca="1" si="18"/>
        <v>1.3607083812611944</v>
      </c>
      <c r="O65" s="10">
        <f t="shared" ca="1" si="18"/>
        <v>1.3429916156974293</v>
      </c>
      <c r="P65" s="10">
        <f t="shared" ca="1" si="18"/>
        <v>1.325274850133664</v>
      </c>
      <c r="Q65" s="10">
        <f t="shared" ca="1" si="18"/>
        <v>1.3075580845698989</v>
      </c>
      <c r="R65" s="10">
        <f t="shared" ca="1" si="18"/>
        <v>1.2898413190061333</v>
      </c>
      <c r="S65" s="10">
        <f t="shared" ca="1" si="18"/>
        <v>1.272124553442368</v>
      </c>
      <c r="T65" s="10">
        <f t="shared" ca="1" si="18"/>
        <v>1.2544077878786029</v>
      </c>
      <c r="U65" s="10">
        <f t="shared" ca="1" si="18"/>
        <v>1.2366910223148375</v>
      </c>
      <c r="V65" s="10">
        <f t="shared" ca="1" si="18"/>
        <v>1.2189742567510724</v>
      </c>
      <c r="W65" s="10">
        <f t="shared" ca="1" si="18"/>
        <v>1.2012574911873071</v>
      </c>
      <c r="X65" s="10">
        <f t="shared" ca="1" si="18"/>
        <v>1.1835407256235417</v>
      </c>
      <c r="Y65" s="10">
        <f t="shared" ca="1" si="18"/>
        <v>1.1658239600597764</v>
      </c>
      <c r="Z65" s="10">
        <f t="shared" ca="1" si="18"/>
        <v>1.1481071944960113</v>
      </c>
      <c r="AA65" s="8"/>
      <c r="AB65" s="3"/>
      <c r="AC65" s="6"/>
      <c r="AD65" s="3"/>
      <c r="AE65" s="3"/>
      <c r="AF65" s="3"/>
      <c r="AG65" s="3"/>
      <c r="AH65" s="3"/>
    </row>
    <row r="66" spans="1:34" s="15" customFormat="1" x14ac:dyDescent="0.2">
      <c r="A66" s="3"/>
      <c r="B66" s="3"/>
      <c r="C66" s="8"/>
      <c r="D66" s="27"/>
      <c r="E66" s="20" t="s">
        <v>6</v>
      </c>
      <c r="F66" s="9">
        <f t="shared" ref="F66:Z66" ca="1" si="19">IF(ISNUMBER(F40),F64+$E$21*ISNUMBER($E$21)+$E$22*ISNUMBER($E$22)*F64/100+$F$73*SQRT(1/$F76+1/($F76-1)*(F39-$F74)^2/$F75^2),"")</f>
        <v>52.283231329940122</v>
      </c>
      <c r="G66" s="10">
        <f t="shared" ca="1" si="19"/>
        <v>51.611209520140072</v>
      </c>
      <c r="H66" s="10">
        <f t="shared" ca="1" si="19"/>
        <v>50.877253973475135</v>
      </c>
      <c r="I66" s="10">
        <f t="shared" ca="1" si="19"/>
        <v>50.164459861556232</v>
      </c>
      <c r="J66" s="10">
        <f t="shared" ca="1" si="19"/>
        <v>49.484866901789076</v>
      </c>
      <c r="K66" s="10">
        <f t="shared" ca="1" si="19"/>
        <v>48.852212301715404</v>
      </c>
      <c r="L66" s="10">
        <f t="shared" ca="1" si="19"/>
        <v>48.273267618577947</v>
      </c>
      <c r="M66" s="10">
        <f t="shared" ca="1" si="19"/>
        <v>47.74147944270554</v>
      </c>
      <c r="N66" s="10">
        <f t="shared" ca="1" si="19"/>
        <v>47.243143976669231</v>
      </c>
      <c r="O66" s="10">
        <f t="shared" ca="1" si="19"/>
        <v>46.766151667513412</v>
      </c>
      <c r="P66" s="10">
        <f t="shared" ca="1" si="19"/>
        <v>46.302495954241522</v>
      </c>
      <c r="Q66" s="10">
        <f t="shared" ca="1" si="19"/>
        <v>45.847352385729991</v>
      </c>
      <c r="R66" s="10">
        <f t="shared" ca="1" si="19"/>
        <v>45.397836821756862</v>
      </c>
      <c r="S66" s="10">
        <f t="shared" ca="1" si="19"/>
        <v>44.952182313204553</v>
      </c>
      <c r="T66" s="10">
        <f t="shared" ca="1" si="19"/>
        <v>44.509268580737469</v>
      </c>
      <c r="U66" s="10">
        <f t="shared" ca="1" si="19"/>
        <v>44.068359925094633</v>
      </c>
      <c r="V66" s="10">
        <f t="shared" ca="1" si="19"/>
        <v>43.628957088705846</v>
      </c>
      <c r="W66" s="10">
        <f t="shared" ca="1" si="19"/>
        <v>43.190711112542679</v>
      </c>
      <c r="X66" s="10">
        <f t="shared" ca="1" si="19"/>
        <v>42.753371612366443</v>
      </c>
      <c r="Y66" s="10">
        <f t="shared" ca="1" si="19"/>
        <v>42.316754722854434</v>
      </c>
      <c r="Z66" s="10">
        <f t="shared" ca="1" si="19"/>
        <v>41.880722631545311</v>
      </c>
      <c r="AA66" s="8"/>
      <c r="AB66" s="3"/>
      <c r="AC66" s="6"/>
      <c r="AD66" s="3"/>
      <c r="AE66" s="3"/>
      <c r="AF66" s="3"/>
      <c r="AG66" s="3"/>
      <c r="AH66" s="3"/>
    </row>
    <row r="67" spans="1:34" s="15" customFormat="1" x14ac:dyDescent="0.2">
      <c r="A67" s="3"/>
      <c r="B67" s="3"/>
      <c r="C67" s="8"/>
      <c r="D67" s="27"/>
      <c r="E67" s="20" t="s">
        <v>7</v>
      </c>
      <c r="F67" s="9">
        <f t="shared" ref="F67:Z67" ca="1" si="20">IF(ISNUMBER(F40),F64-$E$21*ISNUMBER($E$21)-$E$22*ISNUMBER($E$22)*F64/100-$F$73*SQRT(1/$F76+1/($F76-1)*(F39-$F74)^2/$F75^2),"")</f>
        <v>47.761490617722544</v>
      </c>
      <c r="G67" s="10">
        <f t="shared" ca="1" si="20"/>
        <v>47.370506493696674</v>
      </c>
      <c r="H67" s="10">
        <f t="shared" ca="1" si="20"/>
        <v>46.923344336110603</v>
      </c>
      <c r="I67" s="10">
        <f t="shared" ca="1" si="20"/>
        <v>46.455020743778483</v>
      </c>
      <c r="J67" s="10">
        <f t="shared" ca="1" si="20"/>
        <v>45.953495999294617</v>
      </c>
      <c r="K67" s="10">
        <f t="shared" ca="1" si="20"/>
        <v>45.40503289511728</v>
      </c>
      <c r="L67" s="10">
        <f t="shared" ca="1" si="20"/>
        <v>44.802859874003715</v>
      </c>
      <c r="M67" s="10">
        <f t="shared" ca="1" si="20"/>
        <v>44.1535303456251</v>
      </c>
      <c r="N67" s="10">
        <f t="shared" ca="1" si="20"/>
        <v>43.470748107410401</v>
      </c>
      <c r="O67" s="10">
        <f t="shared" ca="1" si="20"/>
        <v>42.766622712315197</v>
      </c>
      <c r="P67" s="10">
        <f t="shared" ca="1" si="20"/>
        <v>42.049160721336079</v>
      </c>
      <c r="Q67" s="10">
        <f t="shared" ca="1" si="20"/>
        <v>41.323186585596588</v>
      </c>
      <c r="R67" s="10">
        <f t="shared" ca="1" si="20"/>
        <v>40.591584445318695</v>
      </c>
      <c r="S67" s="10">
        <f t="shared" ca="1" si="20"/>
        <v>39.856121249619981</v>
      </c>
      <c r="T67" s="10">
        <f t="shared" ca="1" si="20"/>
        <v>39.117917277836057</v>
      </c>
      <c r="U67" s="10">
        <f t="shared" ca="1" si="20"/>
        <v>38.377708229227871</v>
      </c>
      <c r="V67" s="10">
        <f t="shared" ca="1" si="20"/>
        <v>37.635993361365649</v>
      </c>
      <c r="W67" s="10">
        <f t="shared" ca="1" si="20"/>
        <v>36.893121633277794</v>
      </c>
      <c r="X67" s="10">
        <f t="shared" ca="1" si="20"/>
        <v>36.149343429203007</v>
      </c>
      <c r="Y67" s="10">
        <f t="shared" ca="1" si="20"/>
        <v>35.404842614463995</v>
      </c>
      <c r="Z67" s="10">
        <f t="shared" ca="1" si="20"/>
        <v>34.659757001522109</v>
      </c>
      <c r="AA67" s="8"/>
      <c r="AB67" s="3"/>
      <c r="AC67" s="6"/>
      <c r="AD67" s="3"/>
      <c r="AE67" s="3"/>
      <c r="AF67" s="3"/>
      <c r="AG67" s="3"/>
      <c r="AH67" s="3"/>
    </row>
    <row r="68" spans="1:34" s="15" customFormat="1" x14ac:dyDescent="0.2">
      <c r="A68" s="3"/>
      <c r="B68" s="3"/>
      <c r="C68" s="8"/>
      <c r="D68" s="7"/>
      <c r="E68" s="20" t="s">
        <v>1</v>
      </c>
      <c r="F68" s="10">
        <f ca="1">IF(ISNUMBER(F40),SQRT(F65^2+$F73^2*(1/$F76+1/($F76-1)*(F39-$F74)^2/$F75^2)),"")</f>
        <v>1.8090721170659267</v>
      </c>
      <c r="G68" s="10">
        <f t="shared" ref="G68:Z68" ca="1" si="21">IF(ISNUMBER(G40),SQRT(G65^2+$F73^2*(1/$F76+1/($F76-1)*(G39-$F74)^2/$F75^2)),"")</f>
        <v>1.7274955633485789</v>
      </c>
      <c r="H68" s="10">
        <f t="shared" ca="1" si="21"/>
        <v>1.6496381785820444</v>
      </c>
      <c r="I68" s="10">
        <f t="shared" ca="1" si="21"/>
        <v>1.5871439500828202</v>
      </c>
      <c r="J68" s="10">
        <f t="shared" ca="1" si="21"/>
        <v>1.5418820692699124</v>
      </c>
      <c r="K68" s="10">
        <f t="shared" ca="1" si="21"/>
        <v>1.5153974105792152</v>
      </c>
      <c r="L68" s="10">
        <f t="shared" ca="1" si="21"/>
        <v>1.5086791930847552</v>
      </c>
      <c r="M68" s="10">
        <f t="shared" ca="1" si="21"/>
        <v>1.5219891926377469</v>
      </c>
      <c r="N68" s="10">
        <f t="shared" ca="1" si="21"/>
        <v>1.5548131387944621</v>
      </c>
      <c r="O68" s="10">
        <f t="shared" ca="1" si="21"/>
        <v>1.6059549463892906</v>
      </c>
      <c r="P68" s="10">
        <f t="shared" ca="1" si="21"/>
        <v>1.6737363240065997</v>
      </c>
      <c r="Q68" s="10">
        <f ca="1">IF(ISNUMBER(Q40),SQRT(Q65^2+$F73^2*(1/$F76+1/($F76-1)*(Q39-$F74)^2/$F75^2)),"")</f>
        <v>1.756231725589928</v>
      </c>
      <c r="R68" s="10">
        <f t="shared" ca="1" si="21"/>
        <v>1.8514753751645145</v>
      </c>
      <c r="S68" s="10">
        <f t="shared" ca="1" si="21"/>
        <v>1.957607431257641</v>
      </c>
      <c r="T68" s="10">
        <f t="shared" ca="1" si="21"/>
        <v>2.0729561607019704</v>
      </c>
      <c r="U68" s="10">
        <f t="shared" ca="1" si="21"/>
        <v>2.1960697240005662</v>
      </c>
      <c r="V68" s="10">
        <f t="shared" ca="1" si="21"/>
        <v>2.3257153351934852</v>
      </c>
      <c r="W68" s="10">
        <f t="shared" ca="1" si="21"/>
        <v>2.4608608264668126</v>
      </c>
      <c r="X68" s="10">
        <f t="shared" ca="1" si="21"/>
        <v>2.6006489177369279</v>
      </c>
      <c r="Y68" s="10">
        <f t="shared" ca="1" si="21"/>
        <v>2.7443702699555943</v>
      </c>
      <c r="Z68" s="10">
        <f t="shared" ca="1" si="21"/>
        <v>2.8914384245749698</v>
      </c>
      <c r="AA68" s="8"/>
      <c r="AB68" s="3"/>
      <c r="AC68" s="6"/>
      <c r="AD68" s="3"/>
      <c r="AE68" s="3"/>
      <c r="AF68" s="3"/>
      <c r="AG68" s="3"/>
      <c r="AH68" s="3"/>
    </row>
    <row r="69" spans="1:34" s="15" customFormat="1" x14ac:dyDescent="0.2">
      <c r="A69" s="3"/>
      <c r="B69" s="3"/>
      <c r="C69" s="32"/>
      <c r="D69" s="25"/>
      <c r="E69" s="33" t="s">
        <v>16</v>
      </c>
      <c r="F69" s="11">
        <f t="shared" ref="F69:Z69" ca="1" si="22">IF(ISNUMBER(F40),($F73^2*(1/$F76+1/($F76-1)*(F39-$F74)^2/$F75^2)+IF(ISBLANK($D$20),0,($D$18*ISNUMBER($D$18)+$D$19*ISNUMBER($D$19)*F64/100)^2))^2/(($F73^2*(1/$F76+1/($F76-1)*(F39-$F74)^2/$F75^2))^2/($F76-2)+IF(ISBLANK($D$20),0,($D$18*ISNUMBER($D$18)+$D$19*ISNUMBER($D$19)*F64/100)^4/$D$20)),"")</f>
        <v>27.988319967145291</v>
      </c>
      <c r="G69" s="46">
        <f t="shared" ca="1" si="22"/>
        <v>27.54367936150156</v>
      </c>
      <c r="H69" s="46">
        <f t="shared" ca="1" si="22"/>
        <v>26.470359545008787</v>
      </c>
      <c r="I69" s="46">
        <f t="shared" ca="1" si="22"/>
        <v>25.213360481647818</v>
      </c>
      <c r="J69" s="46">
        <f t="shared" ca="1" si="22"/>
        <v>24.256635710948565</v>
      </c>
      <c r="K69" s="46">
        <f t="shared" ca="1" si="22"/>
        <v>23.955099784403263</v>
      </c>
      <c r="L69" s="46">
        <f t="shared" ca="1" si="22"/>
        <v>24.455247225811775</v>
      </c>
      <c r="M69" s="46">
        <f t="shared" ca="1" si="22"/>
        <v>25.640499778676382</v>
      </c>
      <c r="N69" s="46">
        <f t="shared" ca="1" si="22"/>
        <v>27.053996024209329</v>
      </c>
      <c r="O69" s="46">
        <f t="shared" ca="1" si="22"/>
        <v>27.944809668815076</v>
      </c>
      <c r="P69" s="46">
        <f t="shared" ca="1" si="22"/>
        <v>27.662132781003582</v>
      </c>
      <c r="Q69" s="46">
        <f t="shared" ca="1" si="22"/>
        <v>26.149035554752061</v>
      </c>
      <c r="R69" s="46">
        <f t="shared" ca="1" si="22"/>
        <v>23.906951579626217</v>
      </c>
      <c r="S69" s="46">
        <f t="shared" ca="1" si="22"/>
        <v>21.519650163676182</v>
      </c>
      <c r="T69" s="46">
        <f t="shared" ca="1" si="22"/>
        <v>19.344811749154665</v>
      </c>
      <c r="U69" s="46">
        <f t="shared" ca="1" si="22"/>
        <v>17.511222932988577</v>
      </c>
      <c r="V69" s="46">
        <f t="shared" ca="1" si="22"/>
        <v>16.020183411882382</v>
      </c>
      <c r="W69" s="46">
        <f t="shared" ca="1" si="22"/>
        <v>14.824468267692938</v>
      </c>
      <c r="X69" s="46">
        <f t="shared" ca="1" si="22"/>
        <v>13.867664263045445</v>
      </c>
      <c r="Y69" s="46">
        <f t="shared" ca="1" si="22"/>
        <v>13.099064361455754</v>
      </c>
      <c r="Z69" s="46">
        <f t="shared" ca="1" si="22"/>
        <v>12.477431889379933</v>
      </c>
      <c r="AA69" s="8"/>
      <c r="AB69" s="3"/>
      <c r="AC69" s="3"/>
      <c r="AD69" s="3"/>
      <c r="AE69" s="3"/>
      <c r="AF69" s="3"/>
      <c r="AG69" s="3"/>
      <c r="AH69" s="3"/>
    </row>
    <row r="70" spans="1:34" s="15" customFormat="1" x14ac:dyDescent="0.2">
      <c r="A70" s="3"/>
      <c r="B70" s="3"/>
      <c r="C70" s="30"/>
      <c r="D70" s="24"/>
      <c r="E70" s="31" t="s">
        <v>18</v>
      </c>
      <c r="F70" s="47">
        <f ca="1">INTERCEPT(F63:Z63,F39:Z39)</f>
        <v>50.081416859043884</v>
      </c>
      <c r="G70" s="5"/>
      <c r="H70" s="5"/>
      <c r="I70" s="5"/>
      <c r="J70" s="5"/>
      <c r="K70" s="5"/>
      <c r="L70" s="5"/>
      <c r="M70" s="5"/>
      <c r="N70" s="5"/>
      <c r="O70" s="5"/>
      <c r="P70" s="5"/>
      <c r="Q70" s="5"/>
      <c r="R70" s="5"/>
      <c r="S70" s="5"/>
      <c r="T70" s="5"/>
      <c r="U70" s="5"/>
      <c r="V70" s="5"/>
      <c r="W70" s="5"/>
      <c r="X70" s="5"/>
      <c r="Y70" s="5"/>
      <c r="Z70" s="5"/>
      <c r="AA70" s="3"/>
      <c r="AB70" s="4"/>
      <c r="AC70" s="6"/>
      <c r="AD70" s="3"/>
      <c r="AE70" s="3"/>
      <c r="AF70" s="3"/>
      <c r="AG70" s="3"/>
      <c r="AH70" s="3"/>
    </row>
    <row r="71" spans="1:34" s="15" customFormat="1" x14ac:dyDescent="0.2">
      <c r="A71" s="3"/>
      <c r="B71" s="3"/>
      <c r="C71" s="8"/>
      <c r="D71" s="7"/>
      <c r="E71" s="20" t="s">
        <v>17</v>
      </c>
      <c r="F71" s="48">
        <f ca="1">SLOPE(F63:Z63,F39:Z39)</f>
        <v>-0.59055885212550874</v>
      </c>
      <c r="G71" s="5"/>
      <c r="H71" s="5"/>
      <c r="I71" s="5"/>
      <c r="J71" s="5"/>
      <c r="K71" s="5"/>
      <c r="L71" s="5"/>
      <c r="M71" s="5"/>
      <c r="N71" s="5"/>
      <c r="O71" s="5"/>
      <c r="P71" s="5"/>
      <c r="Q71" s="5"/>
      <c r="R71" s="5"/>
      <c r="S71" s="5"/>
      <c r="T71" s="5"/>
      <c r="U71" s="5"/>
      <c r="V71" s="5"/>
      <c r="W71" s="5"/>
      <c r="X71" s="5"/>
      <c r="Y71" s="5"/>
      <c r="Z71" s="5"/>
      <c r="AA71" s="3"/>
      <c r="AB71" s="3"/>
      <c r="AC71" s="6"/>
      <c r="AD71" s="3"/>
      <c r="AE71" s="3"/>
      <c r="AF71" s="3"/>
      <c r="AG71" s="3"/>
      <c r="AH71" s="3"/>
    </row>
    <row r="72" spans="1:34" s="15" customFormat="1" x14ac:dyDescent="0.2">
      <c r="A72" s="3"/>
      <c r="B72" s="3"/>
      <c r="C72" s="8"/>
      <c r="D72" s="7"/>
      <c r="E72" s="20" t="s">
        <v>31</v>
      </c>
      <c r="F72" s="48">
        <f ca="1">F73/F75/SQRT(F76-1)</f>
        <v>0.17324380456234453</v>
      </c>
      <c r="G72" s="5"/>
      <c r="H72" s="5"/>
      <c r="I72" s="5"/>
      <c r="J72" s="5"/>
      <c r="K72" s="5"/>
      <c r="L72" s="5"/>
      <c r="M72" s="5"/>
      <c r="N72" s="5"/>
      <c r="O72" s="5"/>
      <c r="P72" s="5"/>
      <c r="Q72" s="5"/>
      <c r="R72" s="5"/>
      <c r="S72" s="5"/>
      <c r="T72" s="5"/>
      <c r="U72" s="5"/>
      <c r="V72" s="5"/>
      <c r="W72" s="5"/>
      <c r="X72" s="5"/>
      <c r="Y72" s="5"/>
      <c r="Z72" s="5"/>
      <c r="AA72" s="3"/>
      <c r="AB72" s="3"/>
      <c r="AC72" s="6"/>
      <c r="AD72" s="3"/>
      <c r="AE72" s="3"/>
      <c r="AF72" s="3"/>
      <c r="AG72" s="3"/>
      <c r="AH72" s="3"/>
    </row>
    <row r="73" spans="1:34" s="15" customFormat="1" x14ac:dyDescent="0.2">
      <c r="A73" s="3"/>
      <c r="B73" s="3"/>
      <c r="C73" s="8"/>
      <c r="D73" s="7"/>
      <c r="E73" s="20" t="s">
        <v>19</v>
      </c>
      <c r="F73" s="62">
        <f ca="1">STEYX(F63:Z63,F62:Z62)</f>
        <v>1.8087938449506693</v>
      </c>
      <c r="G73" s="5"/>
      <c r="H73" s="5"/>
      <c r="I73" s="5"/>
      <c r="J73" s="5"/>
      <c r="K73" s="5"/>
      <c r="L73" s="5"/>
      <c r="M73" s="5"/>
      <c r="N73" s="5"/>
      <c r="O73" s="5"/>
      <c r="P73" s="5"/>
      <c r="Q73" s="5"/>
      <c r="R73" s="5"/>
      <c r="S73" s="5"/>
      <c r="T73" s="5"/>
      <c r="U73" s="5"/>
      <c r="V73" s="5"/>
      <c r="W73" s="5"/>
      <c r="X73" s="5"/>
      <c r="Y73" s="5"/>
      <c r="Z73" s="5"/>
      <c r="AA73" s="3"/>
      <c r="AB73" s="3"/>
      <c r="AC73" s="6"/>
      <c r="AD73" s="3"/>
      <c r="AE73" s="3"/>
      <c r="AF73" s="3"/>
      <c r="AG73" s="3"/>
      <c r="AH73" s="3"/>
    </row>
    <row r="74" spans="1:34" s="15" customFormat="1" x14ac:dyDescent="0.2">
      <c r="A74" s="3"/>
      <c r="B74" s="3"/>
      <c r="C74" s="8"/>
      <c r="D74" s="7"/>
      <c r="E74" s="20" t="s">
        <v>2</v>
      </c>
      <c r="F74" s="49">
        <f>AVERAGE(F62:Z62)</f>
        <v>5.0090909090909088</v>
      </c>
      <c r="G74" s="5"/>
      <c r="H74" s="5"/>
      <c r="I74" s="5"/>
      <c r="J74" s="5"/>
      <c r="K74" s="5"/>
      <c r="L74" s="5"/>
      <c r="M74" s="5"/>
      <c r="N74" s="5"/>
      <c r="O74" s="5"/>
      <c r="P74" s="5"/>
      <c r="Q74" s="5"/>
      <c r="R74" s="5"/>
      <c r="S74" s="5"/>
      <c r="T74" s="5"/>
      <c r="U74" s="5"/>
      <c r="V74" s="5"/>
      <c r="W74" s="5"/>
      <c r="X74" s="5"/>
      <c r="Y74" s="5"/>
      <c r="Z74" s="5"/>
      <c r="AA74" s="3"/>
      <c r="AB74" s="3"/>
      <c r="AC74" s="6"/>
      <c r="AD74" s="3"/>
      <c r="AE74" s="3"/>
      <c r="AF74" s="3"/>
      <c r="AG74" s="3"/>
      <c r="AH74" s="3"/>
    </row>
    <row r="75" spans="1:34" s="15" customFormat="1" x14ac:dyDescent="0.2">
      <c r="A75" s="3"/>
      <c r="B75" s="3"/>
      <c r="C75" s="8"/>
      <c r="D75" s="7"/>
      <c r="E75" s="20" t="s">
        <v>3</v>
      </c>
      <c r="F75" s="49">
        <f>STDEV(F62:Z62)</f>
        <v>3.3016524788216417</v>
      </c>
      <c r="G75" s="5"/>
      <c r="H75" s="5"/>
      <c r="I75" s="5"/>
      <c r="J75" s="5"/>
      <c r="K75" s="5"/>
      <c r="L75" s="5"/>
      <c r="M75" s="5"/>
      <c r="N75" s="5"/>
      <c r="O75" s="5"/>
      <c r="P75" s="5"/>
      <c r="Q75" s="5"/>
      <c r="R75" s="5"/>
      <c r="S75" s="5"/>
      <c r="T75" s="5"/>
      <c r="U75" s="5"/>
      <c r="V75" s="5"/>
      <c r="W75" s="5"/>
      <c r="X75" s="5"/>
      <c r="Y75" s="5"/>
      <c r="Z75" s="5"/>
      <c r="AA75" s="3"/>
      <c r="AB75" s="3"/>
      <c r="AC75" s="6"/>
      <c r="AD75" s="3"/>
      <c r="AE75" s="3"/>
      <c r="AF75" s="3"/>
      <c r="AG75" s="3"/>
      <c r="AH75" s="3"/>
    </row>
    <row r="76" spans="1:34" s="15" customFormat="1" x14ac:dyDescent="0.2">
      <c r="A76" s="3"/>
      <c r="B76" s="3"/>
      <c r="C76" s="8"/>
      <c r="D76" s="7"/>
      <c r="E76" s="20" t="s">
        <v>4</v>
      </c>
      <c r="F76" s="49">
        <f>COUNT(F62:Z62)</f>
        <v>11</v>
      </c>
      <c r="G76" s="5"/>
      <c r="H76" s="5"/>
      <c r="I76" s="5"/>
      <c r="J76" s="5"/>
      <c r="K76" s="5"/>
      <c r="L76" s="5"/>
      <c r="M76" s="5"/>
      <c r="N76" s="5"/>
      <c r="O76" s="5"/>
      <c r="P76" s="5"/>
      <c r="Q76" s="5"/>
      <c r="R76" s="5"/>
      <c r="S76" s="5"/>
      <c r="T76" s="5"/>
      <c r="U76" s="5"/>
      <c r="V76" s="5"/>
      <c r="W76" s="5"/>
      <c r="X76" s="5"/>
      <c r="Y76" s="5"/>
      <c r="Z76" s="5"/>
      <c r="AA76" s="3"/>
      <c r="AB76" s="3"/>
      <c r="AC76" s="6"/>
      <c r="AD76" s="3"/>
      <c r="AE76" s="3"/>
      <c r="AF76" s="3"/>
      <c r="AG76" s="3"/>
      <c r="AH76" s="3"/>
    </row>
    <row r="77" spans="1:34" s="15" customFormat="1" x14ac:dyDescent="0.2">
      <c r="A77" s="3"/>
      <c r="B77" s="3"/>
      <c r="C77" s="8"/>
      <c r="D77" s="7"/>
      <c r="E77" s="20" t="s">
        <v>12</v>
      </c>
      <c r="F77" s="49">
        <f>MIN(F62:Z62)</f>
        <v>0.1</v>
      </c>
      <c r="G77" s="5"/>
      <c r="H77" s="5"/>
      <c r="I77" s="5"/>
      <c r="J77" s="5"/>
      <c r="K77" s="5"/>
      <c r="L77" s="5"/>
      <c r="M77" s="5"/>
      <c r="N77" s="5"/>
      <c r="O77" s="5"/>
      <c r="P77" s="5"/>
      <c r="Q77" s="5"/>
      <c r="R77" s="5"/>
      <c r="S77" s="5"/>
      <c r="T77" s="5"/>
      <c r="U77" s="5"/>
      <c r="V77" s="5"/>
      <c r="W77" s="5"/>
      <c r="X77" s="5"/>
      <c r="Y77" s="5"/>
      <c r="Z77" s="5"/>
      <c r="AA77" s="3"/>
      <c r="AB77" s="3"/>
      <c r="AC77" s="6"/>
      <c r="AD77" s="3"/>
      <c r="AE77" s="3"/>
      <c r="AF77" s="3"/>
      <c r="AG77" s="3"/>
      <c r="AH77" s="3"/>
    </row>
    <row r="78" spans="1:34" s="15" customFormat="1" x14ac:dyDescent="0.2">
      <c r="A78" s="3"/>
      <c r="B78" s="3"/>
      <c r="C78" s="8"/>
      <c r="D78" s="7"/>
      <c r="E78" s="20" t="s">
        <v>13</v>
      </c>
      <c r="F78" s="49">
        <f>MAX(F62:Z62)</f>
        <v>10</v>
      </c>
      <c r="G78" s="5"/>
      <c r="H78" s="5"/>
      <c r="I78" s="5"/>
      <c r="J78" s="5"/>
      <c r="K78" s="5"/>
      <c r="L78" s="5"/>
      <c r="M78" s="5"/>
      <c r="N78" s="5"/>
      <c r="O78" s="5"/>
      <c r="P78" s="5"/>
      <c r="Q78" s="5"/>
      <c r="R78" s="5"/>
      <c r="S78" s="5"/>
      <c r="T78" s="5"/>
      <c r="U78" s="5"/>
      <c r="V78" s="5"/>
      <c r="W78" s="5"/>
      <c r="X78" s="5"/>
      <c r="Y78" s="5"/>
      <c r="Z78" s="5"/>
      <c r="AA78" s="3"/>
      <c r="AB78" s="3"/>
      <c r="AC78" s="6"/>
      <c r="AD78" s="3"/>
      <c r="AE78" s="3"/>
      <c r="AF78" s="3"/>
      <c r="AG78" s="3"/>
      <c r="AH78" s="3"/>
    </row>
    <row r="79" spans="1:34" s="15" customFormat="1" x14ac:dyDescent="0.2">
      <c r="A79" s="3"/>
      <c r="B79" s="3"/>
      <c r="C79" s="8"/>
      <c r="D79" s="7"/>
      <c r="E79" s="20" t="s">
        <v>20</v>
      </c>
      <c r="F79" s="49">
        <f ca="1">HLOOKUP(F77,F62:Z64,3)</f>
        <v>50.022360973831333</v>
      </c>
      <c r="G79" s="5"/>
      <c r="H79" s="5"/>
      <c r="I79" s="5"/>
      <c r="J79" s="5"/>
      <c r="K79" s="5"/>
      <c r="L79" s="5"/>
      <c r="M79" s="5"/>
      <c r="N79" s="5"/>
      <c r="O79" s="5"/>
      <c r="P79" s="5"/>
      <c r="Q79" s="5"/>
      <c r="R79" s="5"/>
      <c r="S79" s="5"/>
      <c r="T79" s="5"/>
      <c r="U79" s="5"/>
      <c r="V79" s="5"/>
      <c r="W79" s="5"/>
      <c r="X79" s="5"/>
      <c r="Y79" s="5"/>
      <c r="Z79" s="5"/>
      <c r="AA79" s="3"/>
      <c r="AB79" s="3"/>
      <c r="AC79" s="6"/>
      <c r="AD79" s="3"/>
      <c r="AE79" s="3"/>
      <c r="AF79" s="3"/>
      <c r="AG79" s="3"/>
      <c r="AH79" s="3"/>
    </row>
    <row r="80" spans="1:34" s="15" customFormat="1" x14ac:dyDescent="0.2">
      <c r="A80" s="3"/>
      <c r="B80" s="3"/>
      <c r="C80" s="32"/>
      <c r="D80" s="25"/>
      <c r="E80" s="33" t="s">
        <v>21</v>
      </c>
      <c r="F80" s="50">
        <f ca="1">HLOOKUP(F78,F62:Z64,3)</f>
        <v>44.175828337788801</v>
      </c>
      <c r="G80" s="5"/>
      <c r="H80" s="5"/>
      <c r="I80" s="5"/>
      <c r="J80" s="5"/>
      <c r="K80" s="5"/>
      <c r="L80" s="5"/>
      <c r="M80" s="5"/>
      <c r="N80" s="5"/>
      <c r="O80" s="5"/>
      <c r="P80" s="5"/>
      <c r="Q80" s="5"/>
      <c r="R80" s="5"/>
      <c r="S80" s="5"/>
      <c r="T80" s="5"/>
      <c r="U80" s="5"/>
      <c r="V80" s="5"/>
      <c r="W80" s="5"/>
      <c r="X80" s="5"/>
      <c r="Y80" s="5"/>
      <c r="Z80" s="5"/>
      <c r="AA80" s="3"/>
      <c r="AB80" s="3"/>
      <c r="AC80" s="6"/>
      <c r="AD80" s="3"/>
      <c r="AE80" s="3"/>
      <c r="AF80" s="3"/>
      <c r="AG80" s="3"/>
      <c r="AH80" s="3"/>
    </row>
    <row r="81" spans="1:34" s="15" customFormat="1" x14ac:dyDescent="0.2">
      <c r="A81" s="3"/>
      <c r="B81" s="7"/>
      <c r="C81" s="7" t="s">
        <v>53</v>
      </c>
      <c r="D81" s="7"/>
      <c r="E81" s="94" t="s">
        <v>55</v>
      </c>
      <c r="F81" s="5"/>
      <c r="G81" s="5"/>
      <c r="H81" s="5"/>
      <c r="I81" s="5"/>
      <c r="J81" s="5"/>
      <c r="K81" s="5"/>
      <c r="L81" s="5"/>
      <c r="M81" s="5"/>
      <c r="N81" s="5"/>
      <c r="O81" s="5"/>
      <c r="P81" s="5"/>
      <c r="Q81" s="5"/>
      <c r="R81" s="5"/>
      <c r="S81" s="5"/>
      <c r="T81" s="5"/>
      <c r="U81" s="5"/>
      <c r="V81" s="5"/>
      <c r="W81" s="5"/>
      <c r="X81" s="5"/>
      <c r="Y81" s="5"/>
      <c r="Z81" s="5"/>
      <c r="AA81" s="3"/>
      <c r="AB81" s="3"/>
      <c r="AC81" s="6"/>
      <c r="AD81" s="3"/>
      <c r="AE81" s="3"/>
      <c r="AF81" s="3"/>
      <c r="AG81" s="3"/>
      <c r="AH81" s="3"/>
    </row>
    <row r="82" spans="1:34" s="15" customFormat="1" x14ac:dyDescent="0.2">
      <c r="A82" s="3"/>
      <c r="B82" s="3"/>
      <c r="C82" s="30"/>
      <c r="D82" s="31" t="s">
        <v>56</v>
      </c>
      <c r="E82" s="47">
        <f>SUM(F82:Z82)</f>
        <v>4</v>
      </c>
      <c r="F82" s="74" t="str">
        <f>IF(AND(ISBLANK(F41),(F46&lt;&gt;0)),1,"")</f>
        <v/>
      </c>
      <c r="G82" s="74" t="str">
        <f t="shared" ref="G82:Z82" si="23">IF(AND(ISBLANK(G41),(G46&lt;&gt;0)),1,"")</f>
        <v/>
      </c>
      <c r="H82" s="74" t="str">
        <f t="shared" si="23"/>
        <v/>
      </c>
      <c r="I82" s="74" t="str">
        <f t="shared" si="23"/>
        <v/>
      </c>
      <c r="J82" s="74" t="str">
        <f t="shared" si="23"/>
        <v/>
      </c>
      <c r="K82" s="74" t="str">
        <f t="shared" si="23"/>
        <v/>
      </c>
      <c r="L82" s="74" t="str">
        <f t="shared" si="23"/>
        <v/>
      </c>
      <c r="M82" s="74" t="str">
        <f t="shared" si="23"/>
        <v/>
      </c>
      <c r="N82" s="74" t="str">
        <f t="shared" si="23"/>
        <v/>
      </c>
      <c r="O82" s="74" t="str">
        <f t="shared" si="23"/>
        <v/>
      </c>
      <c r="P82" s="74" t="str">
        <f t="shared" si="23"/>
        <v/>
      </c>
      <c r="Q82" s="74" t="str">
        <f t="shared" si="23"/>
        <v/>
      </c>
      <c r="R82" s="74">
        <f t="shared" si="23"/>
        <v>1</v>
      </c>
      <c r="S82" s="74">
        <f t="shared" si="23"/>
        <v>1</v>
      </c>
      <c r="T82" s="74">
        <f t="shared" si="23"/>
        <v>1</v>
      </c>
      <c r="U82" s="74">
        <f t="shared" si="23"/>
        <v>1</v>
      </c>
      <c r="V82" s="74" t="str">
        <f t="shared" si="23"/>
        <v/>
      </c>
      <c r="W82" s="74" t="str">
        <f t="shared" si="23"/>
        <v/>
      </c>
      <c r="X82" s="74" t="str">
        <f t="shared" si="23"/>
        <v/>
      </c>
      <c r="Y82" s="74" t="str">
        <f t="shared" si="23"/>
        <v/>
      </c>
      <c r="Z82" s="74" t="str">
        <f t="shared" si="23"/>
        <v/>
      </c>
      <c r="AA82" s="8"/>
      <c r="AB82" s="3"/>
      <c r="AC82" s="6"/>
      <c r="AD82" s="3"/>
      <c r="AE82" s="3"/>
      <c r="AF82" s="3"/>
      <c r="AG82" s="3"/>
      <c r="AH82" s="3"/>
    </row>
    <row r="83" spans="1:34" s="15" customFormat="1" x14ac:dyDescent="0.2">
      <c r="A83" s="3"/>
      <c r="B83" s="3"/>
      <c r="C83" s="8"/>
      <c r="D83" s="20" t="s">
        <v>59</v>
      </c>
      <c r="E83" s="49">
        <f ca="1">SUMPRODUCT($F$82:$Z$82,$F83:$Z83)/SUM($F$82:$Z$82)</f>
        <v>46.117596846790697</v>
      </c>
      <c r="F83" s="9" t="str">
        <f t="shared" ref="F83:Z83" si="24">IF(F82=1,F40,"")</f>
        <v/>
      </c>
      <c r="G83" s="10" t="str">
        <f t="shared" si="24"/>
        <v/>
      </c>
      <c r="H83" s="10" t="str">
        <f t="shared" si="24"/>
        <v/>
      </c>
      <c r="I83" s="10" t="str">
        <f t="shared" si="24"/>
        <v/>
      </c>
      <c r="J83" s="10" t="str">
        <f t="shared" si="24"/>
        <v/>
      </c>
      <c r="K83" s="10" t="str">
        <f t="shared" si="24"/>
        <v/>
      </c>
      <c r="L83" s="10" t="str">
        <f t="shared" si="24"/>
        <v/>
      </c>
      <c r="M83" s="10" t="str">
        <f t="shared" si="24"/>
        <v/>
      </c>
      <c r="N83" s="10" t="str">
        <f t="shared" si="24"/>
        <v/>
      </c>
      <c r="O83" s="10" t="str">
        <f t="shared" si="24"/>
        <v/>
      </c>
      <c r="P83" s="10" t="str">
        <f t="shared" si="24"/>
        <v/>
      </c>
      <c r="Q83" s="10" t="str">
        <f t="shared" si="24"/>
        <v/>
      </c>
      <c r="R83" s="10">
        <f t="shared" ca="1" si="24"/>
        <v>48.817126856238779</v>
      </c>
      <c r="S83" s="10">
        <f t="shared" ca="1" si="24"/>
        <v>47.103440071557344</v>
      </c>
      <c r="T83" s="10">
        <f t="shared" ca="1" si="24"/>
        <v>43.893024159508691</v>
      </c>
      <c r="U83" s="10">
        <f t="shared" ca="1" si="24"/>
        <v>44.656796299857966</v>
      </c>
      <c r="V83" s="10" t="str">
        <f t="shared" si="24"/>
        <v/>
      </c>
      <c r="W83" s="10" t="str">
        <f t="shared" si="24"/>
        <v/>
      </c>
      <c r="X83" s="10" t="str">
        <f t="shared" si="24"/>
        <v/>
      </c>
      <c r="Y83" s="10" t="str">
        <f t="shared" si="24"/>
        <v/>
      </c>
      <c r="Z83" s="10" t="str">
        <f t="shared" si="24"/>
        <v/>
      </c>
      <c r="AA83" s="8"/>
      <c r="AB83" s="3"/>
      <c r="AC83" s="6"/>
      <c r="AD83" s="3"/>
      <c r="AE83" s="3"/>
      <c r="AF83" s="3"/>
      <c r="AG83" s="3"/>
      <c r="AH83" s="3"/>
    </row>
    <row r="84" spans="1:34" s="15" customFormat="1" x14ac:dyDescent="0.2">
      <c r="A84" s="3"/>
      <c r="B84" s="3"/>
      <c r="C84" s="8"/>
      <c r="D84" s="20" t="s">
        <v>52</v>
      </c>
      <c r="E84" s="49">
        <f ca="1">SUMPRODUCT($F$82:$Z$82,$F84:$Z84)/SUM($F$82:$Z$82)</f>
        <v>42.108872355349519</v>
      </c>
      <c r="F84" s="9" t="str">
        <f>IF(F82=1,F64,"")</f>
        <v/>
      </c>
      <c r="G84" s="10" t="str">
        <f t="shared" ref="G84:Z84" si="25">IF(G82=1,G64,"")</f>
        <v/>
      </c>
      <c r="H84" s="10" t="str">
        <f t="shared" si="25"/>
        <v/>
      </c>
      <c r="I84" s="10" t="str">
        <f t="shared" si="25"/>
        <v/>
      </c>
      <c r="J84" s="10" t="str">
        <f t="shared" si="25"/>
        <v/>
      </c>
      <c r="K84" s="10" t="str">
        <f t="shared" si="25"/>
        <v/>
      </c>
      <c r="L84" s="10" t="str">
        <f t="shared" si="25"/>
        <v/>
      </c>
      <c r="M84" s="10" t="str">
        <f t="shared" si="25"/>
        <v/>
      </c>
      <c r="N84" s="10" t="str">
        <f t="shared" si="25"/>
        <v/>
      </c>
      <c r="O84" s="10" t="str">
        <f t="shared" si="25"/>
        <v/>
      </c>
      <c r="P84" s="10" t="str">
        <f t="shared" si="25"/>
        <v/>
      </c>
      <c r="Q84" s="10" t="str">
        <f t="shared" si="25"/>
        <v/>
      </c>
      <c r="R84" s="10">
        <f t="shared" ca="1" si="25"/>
        <v>42.994710633537778</v>
      </c>
      <c r="S84" s="10">
        <f t="shared" ca="1" si="25"/>
        <v>42.404151781412267</v>
      </c>
      <c r="T84" s="10">
        <f t="shared" ca="1" si="25"/>
        <v>41.813592929286763</v>
      </c>
      <c r="U84" s="10">
        <f t="shared" ca="1" si="25"/>
        <v>41.223034077161252</v>
      </c>
      <c r="V84" s="10" t="str">
        <f t="shared" si="25"/>
        <v/>
      </c>
      <c r="W84" s="10" t="str">
        <f t="shared" si="25"/>
        <v/>
      </c>
      <c r="X84" s="10" t="str">
        <f t="shared" si="25"/>
        <v/>
      </c>
      <c r="Y84" s="10" t="str">
        <f t="shared" si="25"/>
        <v/>
      </c>
      <c r="Z84" s="10" t="str">
        <f t="shared" si="25"/>
        <v/>
      </c>
      <c r="AA84" s="8"/>
      <c r="AB84" s="3"/>
      <c r="AC84" s="6"/>
      <c r="AD84" s="3"/>
      <c r="AE84" s="3"/>
      <c r="AF84" s="3"/>
      <c r="AG84" s="3"/>
      <c r="AH84" s="3"/>
    </row>
    <row r="85" spans="1:34" s="15" customFormat="1" x14ac:dyDescent="0.2">
      <c r="A85" s="3"/>
      <c r="B85" s="3"/>
      <c r="C85" s="8"/>
      <c r="D85" s="20" t="s">
        <v>96</v>
      </c>
      <c r="E85" s="49">
        <f ca="1">SQRT(SUMPRODUCT(F82:Z82,F85:Z85,F85:Z85)/SUM(F82:Z82))/SQRT(SUM(F82:Z82))</f>
        <v>0.63171072744230772</v>
      </c>
      <c r="F85" s="9" t="str">
        <f>IF(F82=1,F65,"")</f>
        <v/>
      </c>
      <c r="G85" s="10" t="str">
        <f t="shared" ref="G85:Z85" si="26">IF(G82=1,G65,"")</f>
        <v/>
      </c>
      <c r="H85" s="10" t="str">
        <f t="shared" si="26"/>
        <v/>
      </c>
      <c r="I85" s="10" t="str">
        <f t="shared" si="26"/>
        <v/>
      </c>
      <c r="J85" s="10" t="str">
        <f t="shared" si="26"/>
        <v/>
      </c>
      <c r="K85" s="10" t="str">
        <f t="shared" si="26"/>
        <v/>
      </c>
      <c r="L85" s="10" t="str">
        <f t="shared" si="26"/>
        <v/>
      </c>
      <c r="M85" s="10" t="str">
        <f t="shared" si="26"/>
        <v/>
      </c>
      <c r="N85" s="10" t="str">
        <f t="shared" si="26"/>
        <v/>
      </c>
      <c r="O85" s="10" t="str">
        <f t="shared" si="26"/>
        <v/>
      </c>
      <c r="P85" s="10" t="str">
        <f t="shared" si="26"/>
        <v/>
      </c>
      <c r="Q85" s="10" t="str">
        <f t="shared" si="26"/>
        <v/>
      </c>
      <c r="R85" s="10">
        <f t="shared" ca="1" si="26"/>
        <v>1.2898413190061333</v>
      </c>
      <c r="S85" s="10">
        <f t="shared" ca="1" si="26"/>
        <v>1.272124553442368</v>
      </c>
      <c r="T85" s="10">
        <f t="shared" ca="1" si="26"/>
        <v>1.2544077878786029</v>
      </c>
      <c r="U85" s="10">
        <f t="shared" ca="1" si="26"/>
        <v>1.2366910223148375</v>
      </c>
      <c r="V85" s="10" t="str">
        <f t="shared" si="26"/>
        <v/>
      </c>
      <c r="W85" s="10" t="str">
        <f t="shared" si="26"/>
        <v/>
      </c>
      <c r="X85" s="10" t="str">
        <f t="shared" si="26"/>
        <v/>
      </c>
      <c r="Y85" s="10" t="str">
        <f t="shared" si="26"/>
        <v/>
      </c>
      <c r="Z85" s="10" t="str">
        <f t="shared" si="26"/>
        <v/>
      </c>
      <c r="AA85" s="8"/>
      <c r="AB85" s="3"/>
      <c r="AC85" s="6"/>
      <c r="AD85" s="3"/>
      <c r="AE85" s="3"/>
      <c r="AF85" s="3"/>
      <c r="AG85" s="3"/>
      <c r="AH85" s="3"/>
    </row>
    <row r="86" spans="1:34" s="15" customFormat="1" x14ac:dyDescent="0.2">
      <c r="A86" s="3"/>
      <c r="B86" s="3"/>
      <c r="C86" s="8"/>
      <c r="D86" s="20" t="s">
        <v>1</v>
      </c>
      <c r="E86" s="49">
        <f ca="1">SQRT(E85^2+SUMPRODUCT($F$82:$Z$82,$F86:$Z86,$F86:$Z86)/SUM($F$82:$Z$82))</f>
        <v>1.7023040326739243</v>
      </c>
      <c r="F86" s="9" t="str">
        <f>IF(F82=1,$F73*SQRT(1/$F76+1/($F76-1)*(F39-$F74)^2/$F75^2),"")</f>
        <v/>
      </c>
      <c r="G86" s="10" t="str">
        <f t="shared" ref="G86:Z86" si="27">IF(G82=1,$F73*SQRT(1/$F76+1/($F76-1)*(G39-$F74)^2/$F75^2),"")</f>
        <v/>
      </c>
      <c r="H86" s="10" t="str">
        <f t="shared" si="27"/>
        <v/>
      </c>
      <c r="I86" s="10" t="str">
        <f t="shared" si="27"/>
        <v/>
      </c>
      <c r="J86" s="10" t="str">
        <f t="shared" si="27"/>
        <v/>
      </c>
      <c r="K86" s="10" t="str">
        <f t="shared" si="27"/>
        <v/>
      </c>
      <c r="L86" s="10" t="str">
        <f t="shared" si="27"/>
        <v/>
      </c>
      <c r="M86" s="10" t="str">
        <f t="shared" si="27"/>
        <v/>
      </c>
      <c r="N86" s="10" t="str">
        <f t="shared" si="27"/>
        <v/>
      </c>
      <c r="O86" s="10" t="str">
        <f t="shared" si="27"/>
        <v/>
      </c>
      <c r="P86" s="10" t="str">
        <f t="shared" si="27"/>
        <v/>
      </c>
      <c r="Q86" s="10" t="str">
        <f t="shared" si="27"/>
        <v/>
      </c>
      <c r="R86" s="10">
        <f t="shared" ca="1" si="27"/>
        <v>1.3282584223806368</v>
      </c>
      <c r="S86" s="10">
        <f t="shared" ca="1" si="27"/>
        <v>1.4879267372569778</v>
      </c>
      <c r="T86" s="10">
        <f t="shared" ca="1" si="27"/>
        <v>1.650335828218537</v>
      </c>
      <c r="U86" s="10">
        <f t="shared" ca="1" si="27"/>
        <v>1.8147499960043545</v>
      </c>
      <c r="V86" s="10" t="str">
        <f t="shared" si="27"/>
        <v/>
      </c>
      <c r="W86" s="10" t="str">
        <f t="shared" si="27"/>
        <v/>
      </c>
      <c r="X86" s="10" t="str">
        <f t="shared" si="27"/>
        <v/>
      </c>
      <c r="Y86" s="10" t="str">
        <f t="shared" si="27"/>
        <v/>
      </c>
      <c r="Z86" s="10" t="str">
        <f t="shared" si="27"/>
        <v/>
      </c>
      <c r="AA86" s="8"/>
      <c r="AB86" s="3"/>
      <c r="AC86" s="6"/>
      <c r="AD86" s="3"/>
      <c r="AE86" s="3"/>
      <c r="AF86" s="3"/>
      <c r="AG86" s="3"/>
      <c r="AH86" s="3"/>
    </row>
    <row r="87" spans="1:34" s="15" customFormat="1" x14ac:dyDescent="0.2">
      <c r="A87" s="3"/>
      <c r="B87" s="3"/>
      <c r="C87" s="32"/>
      <c r="D87" s="33" t="s">
        <v>54</v>
      </c>
      <c r="E87" s="100">
        <f ca="1">SUMPRODUCT($F$82:$Z$82,$F87:$Z87)/SUM($F$82:$Z$82)</f>
        <v>20.570659106361411</v>
      </c>
      <c r="F87" s="75" t="str">
        <f>IF(F82=1,F69,"")</f>
        <v/>
      </c>
      <c r="G87" s="76" t="str">
        <f t="shared" ref="G87:Z87" si="28">IF(G82=1,G69,"")</f>
        <v/>
      </c>
      <c r="H87" s="76" t="str">
        <f t="shared" si="28"/>
        <v/>
      </c>
      <c r="I87" s="76" t="str">
        <f t="shared" si="28"/>
        <v/>
      </c>
      <c r="J87" s="76" t="str">
        <f t="shared" si="28"/>
        <v/>
      </c>
      <c r="K87" s="76" t="str">
        <f t="shared" si="28"/>
        <v/>
      </c>
      <c r="L87" s="76" t="str">
        <f t="shared" si="28"/>
        <v/>
      </c>
      <c r="M87" s="76" t="str">
        <f t="shared" si="28"/>
        <v/>
      </c>
      <c r="N87" s="76" t="str">
        <f t="shared" si="28"/>
        <v/>
      </c>
      <c r="O87" s="76" t="str">
        <f t="shared" si="28"/>
        <v/>
      </c>
      <c r="P87" s="76" t="str">
        <f t="shared" si="28"/>
        <v/>
      </c>
      <c r="Q87" s="76" t="str">
        <f t="shared" si="28"/>
        <v/>
      </c>
      <c r="R87" s="76">
        <f t="shared" ca="1" si="28"/>
        <v>23.906951579626217</v>
      </c>
      <c r="S87" s="46">
        <f t="shared" ca="1" si="28"/>
        <v>21.519650163676182</v>
      </c>
      <c r="T87" s="76">
        <f t="shared" ca="1" si="28"/>
        <v>19.344811749154665</v>
      </c>
      <c r="U87" s="76">
        <f t="shared" ca="1" si="28"/>
        <v>17.511222932988577</v>
      </c>
      <c r="V87" s="76" t="str">
        <f t="shared" si="28"/>
        <v/>
      </c>
      <c r="W87" s="76" t="str">
        <f t="shared" si="28"/>
        <v/>
      </c>
      <c r="X87" s="76" t="str">
        <f t="shared" si="28"/>
        <v/>
      </c>
      <c r="Y87" s="76" t="str">
        <f t="shared" si="28"/>
        <v/>
      </c>
      <c r="Z87" s="76" t="str">
        <f t="shared" si="28"/>
        <v/>
      </c>
      <c r="AA87" s="8"/>
      <c r="AB87" s="3"/>
      <c r="AC87" s="6"/>
      <c r="AD87" s="3"/>
      <c r="AE87" s="3"/>
      <c r="AF87" s="3"/>
      <c r="AG87" s="3"/>
      <c r="AH87" s="3"/>
    </row>
    <row r="88" spans="1:34" s="15" customFormat="1" x14ac:dyDescent="0.2">
      <c r="A88" s="3"/>
      <c r="B88" s="3"/>
      <c r="C88" s="3" t="s">
        <v>97</v>
      </c>
      <c r="D88" s="3"/>
      <c r="E88" s="3"/>
      <c r="F88" s="5"/>
      <c r="G88" s="5"/>
      <c r="H88" s="5"/>
      <c r="I88" s="5"/>
      <c r="J88" s="5"/>
      <c r="K88" s="5"/>
      <c r="L88" s="5"/>
      <c r="M88" s="5"/>
      <c r="N88" s="5"/>
      <c r="O88" s="5"/>
      <c r="P88" s="5"/>
      <c r="Q88" s="5"/>
      <c r="R88" s="5"/>
      <c r="S88" s="5"/>
      <c r="T88" s="5"/>
      <c r="U88" s="5"/>
      <c r="V88" s="5"/>
      <c r="W88" s="5"/>
      <c r="X88" s="5"/>
      <c r="Y88" s="5"/>
      <c r="Z88" s="5"/>
      <c r="AA88" s="3"/>
      <c r="AB88" s="3"/>
      <c r="AC88" s="6"/>
      <c r="AD88" s="3"/>
      <c r="AE88" s="3"/>
      <c r="AF88" s="3"/>
      <c r="AG88" s="3"/>
      <c r="AH88" s="3"/>
    </row>
    <row r="89" spans="1:34" x14ac:dyDescent="0.2">
      <c r="A89" s="3"/>
      <c r="B89" s="3"/>
      <c r="C89" s="3"/>
      <c r="D89" s="3"/>
      <c r="E89" s="27" t="s">
        <v>101</v>
      </c>
    </row>
    <row r="90" spans="1:34" x14ac:dyDescent="0.2">
      <c r="A90" s="3"/>
      <c r="B90" s="30"/>
      <c r="C90" s="24"/>
      <c r="D90" s="31" t="s">
        <v>100</v>
      </c>
      <c r="E90" s="47">
        <f ca="1">E83</f>
        <v>46.117596846790697</v>
      </c>
    </row>
    <row r="91" spans="1:34" x14ac:dyDescent="0.2">
      <c r="A91" s="3"/>
      <c r="B91" s="8"/>
      <c r="C91" s="7"/>
      <c r="D91" s="20" t="s">
        <v>98</v>
      </c>
      <c r="E91" s="49">
        <f ca="1">$E$24*ISNUMBER($E$24)+$E$25*ISNUMBER($E$25)*E90/100</f>
        <v>0</v>
      </c>
    </row>
    <row r="92" spans="1:34" x14ac:dyDescent="0.2">
      <c r="A92" s="3"/>
      <c r="B92" s="8"/>
      <c r="C92" s="7"/>
      <c r="D92" s="20" t="s">
        <v>102</v>
      </c>
      <c r="E92" s="49">
        <f ca="1">E86</f>
        <v>1.7023040326739243</v>
      </c>
    </row>
    <row r="93" spans="1:34" x14ac:dyDescent="0.2">
      <c r="A93" s="3"/>
      <c r="B93" s="8"/>
      <c r="C93" s="7"/>
      <c r="D93" s="20" t="s">
        <v>35</v>
      </c>
      <c r="E93" s="103">
        <f ca="1">E87</f>
        <v>20.570659106361411</v>
      </c>
    </row>
    <row r="94" spans="1:34" x14ac:dyDescent="0.2">
      <c r="A94" s="3"/>
      <c r="B94" s="8"/>
      <c r="C94" s="7"/>
      <c r="D94" s="106" t="s">
        <v>95</v>
      </c>
      <c r="E94" s="104">
        <f ca="1">MAX(0,E95-(100-E97))</f>
        <v>47.568206501243452</v>
      </c>
    </row>
    <row r="95" spans="1:34" x14ac:dyDescent="0.2">
      <c r="A95" s="3"/>
      <c r="B95" s="8"/>
      <c r="C95" s="7"/>
      <c r="D95" s="106" t="s">
        <v>103</v>
      </c>
      <c r="E95" s="104">
        <f ca="1">100*_xlfn.T.DIST(-_xlfn.T.INV($E$6/100,E93)+(E91-($E$21*ISNUMBER($E$21)+$E$22*ISNUMBER($E$22)*E90/100))/E92,E93,1)</f>
        <v>73.784103250621726</v>
      </c>
    </row>
    <row r="96" spans="1:34" x14ac:dyDescent="0.2">
      <c r="A96" s="3"/>
      <c r="B96" s="8"/>
      <c r="C96" s="7"/>
      <c r="D96" s="106" t="s">
        <v>93</v>
      </c>
      <c r="E96" s="104">
        <f ca="1">100*_xlfn.T.DIST(-(-_xlfn.T.INV($E$6/100,E93)+(($E$21*ISNUMBER($E$21)+$E$22*ISNUMBER($E$22)*E90/100)-E91)/E92),E93,1)</f>
        <v>2.9480769755581218</v>
      </c>
    </row>
    <row r="97" spans="1:29" x14ac:dyDescent="0.2">
      <c r="A97" s="3"/>
      <c r="B97" s="8"/>
      <c r="C97" s="7"/>
      <c r="D97" s="106" t="s">
        <v>104</v>
      </c>
      <c r="E97" s="104">
        <f ca="1">100-100*_xlfn.T.DIST((E91+($E$21*ISNUMBER($E$21)+$E$22*ISNUMBER($E$22)*E90/100))/E92-(-_xlfn.T.INV($E$6/100,E93)),E93,1)</f>
        <v>73.784103250621726</v>
      </c>
    </row>
    <row r="98" spans="1:29" x14ac:dyDescent="0.2">
      <c r="A98" s="3"/>
      <c r="B98" s="32"/>
      <c r="C98" s="25"/>
      <c r="D98" s="107" t="s">
        <v>94</v>
      </c>
      <c r="E98" s="105">
        <f ca="1">100*_xlfn.T.DIST(-((E91+($E$21*ISNUMBER($E$21)+$E$22*ISNUMBER($E$22)*E90/100))/E92+(-_xlfn.T.INV($E$6/100,E93))),E93,1)</f>
        <v>2.9480769755581218</v>
      </c>
    </row>
    <row r="99" spans="1:29" x14ac:dyDescent="0.2">
      <c r="A99" s="3"/>
      <c r="B99" s="3"/>
      <c r="C99" s="3"/>
      <c r="D99" s="3"/>
      <c r="E99" s="27" t="s">
        <v>99</v>
      </c>
    </row>
    <row r="100" spans="1:29" x14ac:dyDescent="0.2">
      <c r="A100" s="3"/>
      <c r="B100" s="30"/>
      <c r="C100" s="24"/>
      <c r="D100" s="31" t="s">
        <v>100</v>
      </c>
      <c r="E100" s="47">
        <f ca="1">AVERAGE(F40:Z40)</f>
        <v>45.200998208713358</v>
      </c>
    </row>
    <row r="101" spans="1:29" x14ac:dyDescent="0.2">
      <c r="A101" s="3"/>
      <c r="B101" s="8"/>
      <c r="C101" s="7"/>
      <c r="D101" s="20" t="s">
        <v>98</v>
      </c>
      <c r="E101" s="49">
        <f ca="1">$E$24*ISNUMBER($E$24)+$E$25*ISNUMBER($E$25)*E100/100</f>
        <v>0</v>
      </c>
    </row>
    <row r="102" spans="1:29" x14ac:dyDescent="0.2">
      <c r="A102" s="3"/>
      <c r="B102" s="8"/>
      <c r="C102" s="7"/>
      <c r="D102" s="20" t="s">
        <v>102</v>
      </c>
      <c r="E102" s="49">
        <f ca="1">AVERAGE(F65:Z65)*SQRT(2)</f>
        <v>1.8741023560255614</v>
      </c>
    </row>
    <row r="103" spans="1:29" x14ac:dyDescent="0.2">
      <c r="A103" s="3"/>
      <c r="B103" s="8"/>
      <c r="C103" s="7"/>
      <c r="D103" s="20" t="s">
        <v>35</v>
      </c>
      <c r="E103" s="49">
        <f>IF(ISBLANK($D$20),$F76-2,$D$20)</f>
        <v>19</v>
      </c>
    </row>
    <row r="104" spans="1:29" x14ac:dyDescent="0.2">
      <c r="A104" s="3"/>
      <c r="B104" s="8"/>
      <c r="C104" s="7"/>
      <c r="D104" s="106" t="s">
        <v>95</v>
      </c>
      <c r="E104" s="104">
        <f ca="1">MAX(0,E105-(100-E107))</f>
        <v>52.256914732418238</v>
      </c>
    </row>
    <row r="105" spans="1:29" x14ac:dyDescent="0.2">
      <c r="A105" s="3"/>
      <c r="B105" s="8"/>
      <c r="C105" s="7"/>
      <c r="D105" s="106" t="s">
        <v>103</v>
      </c>
      <c r="E105" s="104">
        <f ca="1">100*_xlfn.T.DIST(-_xlfn.T.INV($E$6/100,E103)+(E101-($E$21*ISNUMBER($E$21)+$E$22*ISNUMBER($E$22)*E100/100))/E102,E103,1)</f>
        <v>76.128457366209119</v>
      </c>
    </row>
    <row r="106" spans="1:29" x14ac:dyDescent="0.2">
      <c r="A106" s="3"/>
      <c r="B106" s="8"/>
      <c r="C106" s="7"/>
      <c r="D106" s="106" t="s">
        <v>93</v>
      </c>
      <c r="E106" s="104">
        <f ca="1">100*_xlfn.T.DIST(-(-_xlfn.T.INV($E$6/100,E103)+(($E$21*ISNUMBER($E$21)+$E$22*ISNUMBER($E$22)*E100/100)-E101)/E102),E103,1)</f>
        <v>3.4290833920663308</v>
      </c>
    </row>
    <row r="107" spans="1:29" x14ac:dyDescent="0.2">
      <c r="A107" s="3"/>
      <c r="B107" s="8"/>
      <c r="C107" s="7"/>
      <c r="D107" s="106" t="s">
        <v>104</v>
      </c>
      <c r="E107" s="104">
        <f ca="1">100-100*_xlfn.T.DIST((E101+($E$21*ISNUMBER($E$21)+$E$22*ISNUMBER($E$22)*E100/100))/E102-(-_xlfn.T.INV($E$6/100,E103)),E103,1)</f>
        <v>76.128457366209119</v>
      </c>
    </row>
    <row r="108" spans="1:29" x14ac:dyDescent="0.2">
      <c r="A108" s="3"/>
      <c r="B108" s="32"/>
      <c r="C108" s="25"/>
      <c r="D108" s="107" t="s">
        <v>94</v>
      </c>
      <c r="E108" s="105">
        <f ca="1">100*_xlfn.T.DIST(-((E101+($E$21*ISNUMBER($E$21)+$E$22*ISNUMBER($E$22)*E100/100))/E102+(-_xlfn.T.INV($E$6/100,E103))),E103,1)</f>
        <v>3.4290833920663308</v>
      </c>
    </row>
    <row r="109" spans="1:29" s="15" customFormat="1" x14ac:dyDescent="0.2">
      <c r="F109" s="109"/>
      <c r="G109" s="109"/>
      <c r="H109" s="109"/>
      <c r="I109" s="109"/>
      <c r="J109" s="109"/>
      <c r="K109" s="109"/>
      <c r="L109" s="109"/>
      <c r="M109" s="109"/>
      <c r="N109" s="109"/>
      <c r="O109" s="109"/>
      <c r="P109" s="109"/>
      <c r="Q109" s="109"/>
      <c r="R109" s="109"/>
      <c r="S109" s="109"/>
      <c r="T109" s="109"/>
      <c r="U109" s="109"/>
      <c r="V109" s="109"/>
      <c r="W109" s="109"/>
      <c r="X109" s="109"/>
      <c r="Y109" s="109"/>
      <c r="Z109" s="109"/>
      <c r="AC109" s="110"/>
    </row>
  </sheetData>
  <mergeCells count="3">
    <mergeCell ref="C42:C45"/>
    <mergeCell ref="C47:C50"/>
    <mergeCell ref="C51:C54"/>
  </mergeCells>
  <pageMargins left="0.7" right="0.7" top="0.75" bottom="0.75" header="0.3" footer="0.3"/>
  <pageSetup paperSize="9" orientation="portrait" horizontalDpi="4294967293" r:id="rId1"/>
  <drawing r:id="rId2"/>
  <legacyDrawing r:id="rId3"/>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Worksheets</vt:lpstr>
      </vt:variant>
      <vt:variant>
        <vt:i4>6</vt:i4>
      </vt:variant>
    </vt:vector>
  </HeadingPairs>
  <TitlesOfParts>
    <vt:vector size="6" baseType="lpstr">
      <vt:lpstr>Simple Change</vt:lpstr>
      <vt:lpstr>Trend Instructions</vt:lpstr>
      <vt:lpstr>Trend Data</vt:lpstr>
      <vt:lpstr>Chances of outcomes</vt:lpstr>
      <vt:lpstr>Trend Simulation Instructions</vt:lpstr>
      <vt:lpstr>Trend Simulation Data</vt:lpstr>
    </vt:vector>
  </TitlesOfParts>
  <Company>Victoria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 Hopkins</dc:creator>
  <cp:lastModifiedBy>Will</cp:lastModifiedBy>
  <dcterms:created xsi:type="dcterms:W3CDTF">2017-05-12T11:18:36Z</dcterms:created>
  <dcterms:modified xsi:type="dcterms:W3CDTF">2023-03-03T22:36:08Z</dcterms:modified>
</cp:coreProperties>
</file>